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showInkAnnotation="0" codeName="ThisWorkbook"/>
  <mc:AlternateContent xmlns:mc="http://schemas.openxmlformats.org/markup-compatibility/2006">
    <mc:Choice Requires="x15">
      <x15ac:absPath xmlns:x15ac="http://schemas.microsoft.com/office/spreadsheetml/2010/11/ac" url="F:\usbc_car_module\hardware\excel\"/>
    </mc:Choice>
  </mc:AlternateContent>
  <xr:revisionPtr revIDLastSave="0" documentId="13_ncr:1_{2DC7FB83-4B97-4D86-BC80-268665ADB539}" xr6:coauthVersionLast="47" xr6:coauthVersionMax="47" xr10:uidLastSave="{00000000-0000-0000-0000-000000000000}"/>
  <workbookProtection workbookAlgorithmName="SHA-512" workbookHashValue="rgW94RiNbkS/CglMRKH0pPTCTWpXwHmsascdn1s2O/XjEbpk0t6DEWnI0iRXL4SaZLBjqB6Df2o6MFXJ5SJrRw==" workbookSaltValue="ZlGysuczbzkbdXe1t49uWA==" workbookSpinCount="100000" lockStructure="1"/>
  <bookViews>
    <workbookView minimized="1" xWindow="1125" yWindow="1125" windowWidth="21600" windowHeight="11385" tabRatio="393" xr2:uid="{00000000-000D-0000-FFFF-FFFF00000000}"/>
  </bookViews>
  <sheets>
    <sheet name="Design Regulator" sheetId="1" r:id="rId1"/>
    <sheet name="BOM &amp; Schematic" sheetId="16" r:id="rId2"/>
    <sheet name="EVM" sheetId="14" r:id="rId3"/>
    <sheet name="Variable Management" sheetId="2" state="hidden" r:id="rId4"/>
    <sheet name="Stability Calculations" sheetId="17" state="hidden" r:id="rId5"/>
    <sheet name="Ch2 Stability Calculations" sheetId="25" state="hidden" r:id="rId6"/>
    <sheet name="Bode Plot Management" sheetId="24" state="hidden" r:id="rId7"/>
    <sheet name="Efficiency Calculations" sheetId="21" state="hidden" r:id="rId8"/>
    <sheet name="Ch2 Efficiency Calculations" sheetId="23" state="hidden" r:id="rId9"/>
    <sheet name="Efficiency Plot Management" sheetId="19" state="hidden" r:id="rId10"/>
    <sheet name="Schematic Management" sheetId="22" state="hidden" r:id="rId11"/>
    <sheet name="Standard Value Calculator" sheetId="8" state="hidden" r:id="rId12"/>
    <sheet name="Snubber" sheetId="11" state="hidden" r:id="rId13"/>
    <sheet name="Parallel Output Caps" sheetId="6" state="hidden" r:id="rId14"/>
  </sheets>
  <definedNames>
    <definedName name="_Don1">'Variable Management'!$B$34</definedName>
    <definedName name="_Don2">'Variable Management'!$B$49</definedName>
    <definedName name="Acs">'Variable Management'!$B$207</definedName>
    <definedName name="Acs_Ch2">'Variable Management'!$D$207</definedName>
    <definedName name="Adc" localSheetId="5">'Ch2 Stability Calculations'!$Q$3</definedName>
    <definedName name="Adc">'Stability Calculations'!$Q$3</definedName>
    <definedName name="AEA">'Variable Management'!$B$205</definedName>
    <definedName name="Afb">'Variable Management'!$B$206</definedName>
    <definedName name="Afb_Ch2">'Variable Management'!$D$206</definedName>
    <definedName name="Am">'Variable Management'!$B$209</definedName>
    <definedName name="Am_buck">'Variable Management'!$B$208</definedName>
    <definedName name="Am_buck_Ch2">'Variable Management'!$D$208</definedName>
    <definedName name="Am_Ch2">'Variable Management'!$D$209</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Management'!$B$178</definedName>
    <definedName name="Cbw">'Variable Management'!$B$203</definedName>
    <definedName name="Cby">'Variable Management'!$B$177</definedName>
    <definedName name="Cc1ea">'Variable Management'!$B$226</definedName>
    <definedName name="Cc1ea_u">'Variable Management'!$B$231</definedName>
    <definedName name="Cc2ea">'Variable Management'!$B$227</definedName>
    <definedName name="Cc2ea_u">'Variable Management'!$B$232</definedName>
    <definedName name="Cc3ea">'Variable Management'!$D$226</definedName>
    <definedName name="Cc3ea_u">'Variable Management'!$D$231</definedName>
    <definedName name="Cc4ea">'Variable Management'!$D$227</definedName>
    <definedName name="Cc4ea_u">'Variable Management'!$D$232</definedName>
    <definedName name="Cdither">'Variable Management'!$B$177</definedName>
    <definedName name="Cdither_init">'Variable Management'!$B$176</definedName>
    <definedName name="Ch1_VOUT">'Variable Management'!$L$16</definedName>
    <definedName name="Ch2_VOUT">'Variable Management'!$O$16</definedName>
    <definedName name="Cin">'Variable Management'!$B$146</definedName>
    <definedName name="CinEsrMax">'Variable Management'!$B$149</definedName>
    <definedName name="Cinmin">'Variable Management'!$B$144</definedName>
    <definedName name="Core_Loss_Ch1">'Design Regulator'!$O$75</definedName>
    <definedName name="Coss_Q1">'Variable Management'!$B$279</definedName>
    <definedName name="Coss_Q2">'Variable Management'!$D$279</definedName>
    <definedName name="Coss_Q3">'Variable Management'!$B$298</definedName>
    <definedName name="Coss_Q4">'Variable Management'!$D$298</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Management'!$B$167</definedName>
    <definedName name="Cres_u">'Variable Management'!$B$168</definedName>
    <definedName name="CSAmp_gain">'Variable Management'!$B$182</definedName>
    <definedName name="Csb">'Variable Management'!$B$175</definedName>
    <definedName name="Css">'Variable Management'!$B$162</definedName>
    <definedName name="Css_u">'Variable Management'!$B$163</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Management'!$B$268</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Management'!$B$20</definedName>
    <definedName name="Ext_VCC">'Variable Management'!$X$15</definedName>
    <definedName name="Fcross">'Variable Management'!$B$224</definedName>
    <definedName name="Fcross_Ch2">'Variable Management'!$D$224</definedName>
    <definedName name="Fdither">'Variable Management'!$B$175</definedName>
    <definedName name="Fesr">'Variable Management'!$B$221</definedName>
    <definedName name="Fesr_Ch2">'Variable Management'!$D$221</definedName>
    <definedName name="Fload_u">'Variable Management'!$B$216</definedName>
    <definedName name="Fload_u_Ch2">'Variable Management'!$D$216</definedName>
    <definedName name="Fp_dominant">'Variable Management'!$B$217</definedName>
    <definedName name="Fp_dominant_Ch2">'Variable Management'!$D$217</definedName>
    <definedName name="Fp1_u">'Variable Management'!$B$219</definedName>
    <definedName name="Fp1_u_Ch2">'Variable Management'!$D$219</definedName>
    <definedName name="Fp2_u">'Variable Management'!$B$220</definedName>
    <definedName name="Fp2_u_Ch2">'Variable Management'!$D$220</definedName>
    <definedName name="Frhp" localSheetId="6">'Variable Management'!#REF!</definedName>
    <definedName name="Frhp" localSheetId="8">'Variable Management'!#REF!</definedName>
    <definedName name="Frhp" localSheetId="5">'Variable Management'!#REF!</definedName>
    <definedName name="Frhp">'Variable Management'!#REF!</definedName>
    <definedName name="Fsw">'Variable Management'!$B$27</definedName>
    <definedName name="Fz1_u">'Variable Management'!$B$235</definedName>
    <definedName name="Fz1_u_Ch2">'Variable Management'!$D$235</definedName>
    <definedName name="GBW">'Variable Management'!$B$202</definedName>
    <definedName name="Gfs_Q1">'Variable Management'!$B$281</definedName>
    <definedName name="Gfs_Q2">'Variable Management'!$D$281</definedName>
    <definedName name="Gfs_Q3">'Variable Management'!$B$300</definedName>
    <definedName name="Gfs_Q4">'Variable Management'!$D$300</definedName>
    <definedName name="gm">'Variable Management'!$B$184</definedName>
    <definedName name="Icoutrms">'Variable Management'!$B$111</definedName>
    <definedName name="Iin_Vinmax">'Variable Management'!$B$25</definedName>
    <definedName name="Iin_Vinmin">'Variable Management'!$B$23</definedName>
    <definedName name="Iin_Vinnom">'Variable Management'!$B$24</definedName>
    <definedName name="IL_peak_OCP" localSheetId="8">'Variable Management'!#REF!</definedName>
    <definedName name="IL1_peak_buckboost" localSheetId="8">'Variable Management'!#REF!</definedName>
    <definedName name="Ilimit_DC">'Variable Management'!$B$77</definedName>
    <definedName name="Ilimit2_DC">'Variable Management'!$D$77</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6">'Variable Management'!#REF!</definedName>
    <definedName name="Iout_threshold" localSheetId="8">'Variable Management'!#REF!</definedName>
    <definedName name="Iout_threshold" localSheetId="5">'Variable Management'!#REF!</definedName>
    <definedName name="Iout_threshold">'Variable Management'!#REF!</definedName>
    <definedName name="Iout2">'Variable Management'!$B$14</definedName>
    <definedName name="Iout2_OCP_Vinmax">'Variable Management'!$D$99</definedName>
    <definedName name="Iout2_OCP_Vinmin">'Variable Management'!$D$97</definedName>
    <definedName name="Iout2_OCP_Vinnom">'Variable Management'!$D$98</definedName>
    <definedName name="Iq">'Variable Management'!$B$270</definedName>
    <definedName name="Ireverse">'Variable Management'!$B$312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Management'!$B$161</definedName>
    <definedName name="k">'Variable Management'!$B$198</definedName>
    <definedName name="k_buck">'Variable Management'!$B$195</definedName>
    <definedName name="k_Ch2">'Variable Management'!$D$198</definedName>
    <definedName name="Lf">'Variable Management'!$B$46</definedName>
    <definedName name="Lo_2">'Variable Management'!$D$46</definedName>
    <definedName name="Lopt">'Variable Management'!$B$44</definedName>
    <definedName name="Lopt2">'Variable Management'!$D$44</definedName>
    <definedName name="Ltc">'Variable Management'!$B$255</definedName>
    <definedName name="mc">'Variable Management'!$B$197</definedName>
    <definedName name="mc_buck">'Variable Management'!$B$194</definedName>
    <definedName name="mc_buck_Ch2">'Variable Management'!$D$194</definedName>
    <definedName name="mc_Ch2">'Variable Management'!$D$197</definedName>
    <definedName name="MODE">'Variable Management'!$U$13</definedName>
    <definedName name="Number_of_Phases">'Variable Management'!$U$15</definedName>
    <definedName name="Pi">'Variable Management'!$B$181</definedName>
    <definedName name="PICTURE">INDIRECT('Efficiency Plot Management'!$A$2)</definedName>
    <definedName name="PICTURE2" localSheetId="1">INDIRECT('Schematic Management'!$A$2)</definedName>
    <definedName name="PICTURE2" localSheetId="0">INDIRECT('Schematic Management'!$A$2)</definedName>
    <definedName name="PICTURE3">INDIRECT('Bode Plot Management'!$A$2)</definedName>
    <definedName name="Pin">'Variable Management'!$B$21</definedName>
    <definedName name="PLOT_TYPE">'Variable Management'!$L$10</definedName>
    <definedName name="pole1" localSheetId="5">'Ch2 Stability Calculations'!$K$4</definedName>
    <definedName name="pole1">'Stability Calculations'!$K$4</definedName>
    <definedName name="Pole2" localSheetId="5">'Ch2 Stability Calculations'!$C$5</definedName>
    <definedName name="Pole2">'Stability Calculations'!$C$5</definedName>
    <definedName name="pole3" localSheetId="5">'Ch2 Stability Calculations'!$N$3</definedName>
    <definedName name="pole3">'Stability Calculations'!$N$3</definedName>
    <definedName name="pole4" localSheetId="5">'Ch2 Stability Calculations'!$C$7</definedName>
    <definedName name="pole4">'Stability Calculations'!$C$7</definedName>
    <definedName name="Pout">'Variable Management'!$B$18</definedName>
    <definedName name="_xlnm.Print_Area" localSheetId="1">'BOM &amp; Schematic'!$A$1:$J$81</definedName>
    <definedName name="_xlnm.Print_Area" localSheetId="0">'Design Regulator'!$A$1:$Q$109</definedName>
    <definedName name="pterm1" localSheetId="5">'Ch2 Stability Calculations'!$N$4</definedName>
    <definedName name="pterm1">'Stability Calculations'!$N$4</definedName>
    <definedName name="pterm2" localSheetId="5">'Ch2 Stability Calculations'!$N$5</definedName>
    <definedName name="pterm2">'Stability Calculations'!$N$5</definedName>
    <definedName name="Q">'Variable Management'!$B$199</definedName>
    <definedName name="Q_Ch2">'Variable Management'!$D$199</definedName>
    <definedName name="Qg_Q1">'Variable Management'!$B$275</definedName>
    <definedName name="Qg_Q2">'Variable Management'!$D$275</definedName>
    <definedName name="Qg_Q3">'Variable Management'!$B$294</definedName>
    <definedName name="Qg_Q4">'Variable Management'!$D$294</definedName>
    <definedName name="Qgd_Q1">'Variable Management'!$B$276</definedName>
    <definedName name="Qgd_Q2">'Variable Management'!$D$276</definedName>
    <definedName name="Qgd_Q3">'Variable Management'!$B$295</definedName>
    <definedName name="Qgd_Q4">'Variable Management'!$D$295</definedName>
    <definedName name="Qgs_Q1">'Variable Management'!$B$277</definedName>
    <definedName name="Qgs_Q2">'Variable Management'!$D$277</definedName>
    <definedName name="Qgs_Q3">'Variable Management'!$B$296</definedName>
    <definedName name="Qgs_Q4">'Variable Management'!$D$296</definedName>
    <definedName name="Qoss_Q1">'Variable Management'!$B$278</definedName>
    <definedName name="Qoss_Q2">'Variable Management'!$D$278</definedName>
    <definedName name="Qoss_Q3">'Variable Management'!$B$297</definedName>
    <definedName name="Qoss_Q4">'Variable Management'!$D$297</definedName>
    <definedName name="Qrr_Q2">'Variable Management'!$D$286</definedName>
    <definedName name="Qrr_Q4">'Variable Management'!$D$305</definedName>
    <definedName name="QrrSky_Q2">'Variable Management'!$B$311</definedName>
    <definedName name="QrrSky_Q4">'Variable Management'!$D$311</definedName>
    <definedName name="radconv" localSheetId="5">'Ch2 Stability Calculations'!$Q$6</definedName>
    <definedName name="radconv">'Stability Calculations'!$Q$6</definedName>
    <definedName name="Rcea1">'Variable Management'!$B$225</definedName>
    <definedName name="Rcea1_u">'Variable Management'!$B$230</definedName>
    <definedName name="Rcea2">'Variable Management'!$D$225</definedName>
    <definedName name="Rcea2_u">'Variable Management'!$D$230</definedName>
    <definedName name="RCinEsr">'Variable Management'!$B$151</definedName>
    <definedName name="RCoutEsr">'Variable Management'!$B$126</definedName>
    <definedName name="Rdcr">'Variable Management'!$B$47</definedName>
    <definedName name="Rdcr2">'Variable Management'!$D$47</definedName>
    <definedName name="Rdson1">'Variable Management'!$B$273</definedName>
    <definedName name="Rdson2">'Variable Management'!$D$273</definedName>
    <definedName name="Rdson3">'Variable Management'!$B$292</definedName>
    <definedName name="Rdson4">'Variable Management'!$D$292</definedName>
    <definedName name="RdsonBotTc">'Variable Management'!$B$293</definedName>
    <definedName name="RdsonDRB">'Variable Management'!$B$265</definedName>
    <definedName name="RdsonDRB2">'Variable Management'!$B$266</definedName>
    <definedName name="RdsonDRT">'Variable Management'!$B$262</definedName>
    <definedName name="RdsonDRT2">'Variable Management'!$B$263</definedName>
    <definedName name="RdsonTopTc">'Variable Management'!$B$274</definedName>
    <definedName name="Rfadj">'Variable Management'!$B$30</definedName>
    <definedName name="Rfb1_">'Variable Management'!$B$238</definedName>
    <definedName name="Rfb2_">'Variable Management'!$B$239</definedName>
    <definedName name="Rfb2_u">'Variable Management'!$B$240</definedName>
    <definedName name="Rfb3_">'Variable Management'!$D$238</definedName>
    <definedName name="Rfb4_">'Variable Management'!$D$239</definedName>
    <definedName name="Rfb4_u">'Variable Management'!$D$240</definedName>
    <definedName name="Rfets">'Variable Management'!$B$244</definedName>
    <definedName name="Rgate1">'Variable Management'!$B$280</definedName>
    <definedName name="Rgate2">'Variable Management'!$D$280</definedName>
    <definedName name="Rgate3">'Variable Management'!$B$299</definedName>
    <definedName name="Rgate4">'Variable Management'!$D$299</definedName>
    <definedName name="Ri">'Variable Management'!$B$183</definedName>
    <definedName name="Ri_Ch2">'Variable Management'!$D$183</definedName>
    <definedName name="Ro">'Variable Management'!$B$214</definedName>
    <definedName name="Ro_Ch2">'Variable Management'!$D$214</definedName>
    <definedName name="RoEA">'Variable Management'!$B$204</definedName>
    <definedName name="Rout">'Variable Management'!$B$16</definedName>
    <definedName name="Rout2">'Variable Management'!$B$17</definedName>
    <definedName name="Rpg">'Variable Management'!$B$170</definedName>
    <definedName name="Rs">'Variable Management'!$B$93</definedName>
    <definedName name="Rs_Ch2">'Variable Management'!$D$93</definedName>
    <definedName name="Rs_ideal">'Variable Management'!$B$92</definedName>
    <definedName name="Rs2_ideal">'Variable Management'!$D$92</definedName>
    <definedName name="SCH_DUAL">'Schematic Management'!$B$5</definedName>
    <definedName name="SCH_MODE">'Variable Management'!$U$12</definedName>
    <definedName name="SCH_MULTIPHASE">'Schematic Management'!$B$10</definedName>
    <definedName name="SCH_SINGLE">'Schematic Management'!$B$8</definedName>
    <definedName name="Se_ext">'Variable Management'!$B$186</definedName>
    <definedName name="Se_ext_Ch2">'Variable Management'!$D$186</definedName>
    <definedName name="SENSING_TYPE">'Variable Management'!$AA$17</definedName>
    <definedName name="Sf">'Variable Management'!$B$188</definedName>
    <definedName name="Sf_Ch2">'Variable Management'!$D$188</definedName>
    <definedName name="SINGLE_OUTPUT">'Variable Management'!$U$14</definedName>
    <definedName name="Sn">'Variable Management'!$B$187</definedName>
    <definedName name="Sn_Ch2">'Variable Management'!$D$187</definedName>
    <definedName name="Ta">'Variable Management'!$B$253</definedName>
    <definedName name="Tf_buck">'Variable Management'!$B$319</definedName>
    <definedName name="Tf_Ch2">'Variable Management'!$D$319</definedName>
    <definedName name="ThetaCa">'Variable Management'!$B$256</definedName>
    <definedName name="ThetaJA_Q1">'Variable Management'!$B$288</definedName>
    <definedName name="ThetaJA_Q2">'Variable Management'!$D$288</definedName>
    <definedName name="ThetaJA_Q3">'Variable Management'!$B$307</definedName>
    <definedName name="ThetaJA_Q4">'Variable Management'!$D$307</definedName>
    <definedName name="ThetaJaCtrl">'Variable Management'!$B$315</definedName>
    <definedName name="TL">'Variable Management'!$B$73</definedName>
    <definedName name="Tr_buck">'Variable Management'!$B$318</definedName>
    <definedName name="Tr_Ch2">'Variable Management'!$D$318</definedName>
    <definedName name="Tres">'Variable Management'!$B$166</definedName>
    <definedName name="Trr_Q1">'Variable Management'!$B$287</definedName>
    <definedName name="Trr_Q2">'Variable Management'!$D$287</definedName>
    <definedName name="Trr_Q3">'Variable Management'!$B$306</definedName>
    <definedName name="Trr_Q4">'Variable Management'!$D$306</definedName>
    <definedName name="Ts">'Variable Management'!$B$28</definedName>
    <definedName name="Tss">'Variable Management'!$B$160</definedName>
    <definedName name="VARIANT">'Variable Management'!$Y$25</definedName>
    <definedName name="VCC">'Variable Management'!$B$260</definedName>
    <definedName name="VfdSky_Q2">'Variable Management'!$B$310</definedName>
    <definedName name="VfdSky_Q4">'Variable Management'!$D$310</definedName>
    <definedName name="Vin">'Variable Management'!$B$8</definedName>
    <definedName name="VIN_max">'Variable Management'!$B$9</definedName>
    <definedName name="VIN_MAX_RATING">'Variable Management'!$X$26</definedName>
    <definedName name="VIN_min">'Variable Management'!$B$7</definedName>
    <definedName name="VIN_nom">'Variable Management'!$B$8</definedName>
    <definedName name="Vinripple1">'Variable Management'!$B$140</definedName>
    <definedName name="Vinripple2">'Variable Management'!$B$140+'Variable Management'!$D$140</definedName>
    <definedName name="Vo1_ripple">'Variable Management'!$B$116</definedName>
    <definedName name="Vo2_ripple">'Variable Management'!$D$116</definedName>
    <definedName name="Vout">'Variable Management'!$B$11</definedName>
    <definedName name="VOUT_MAX_RATING">'Variable Management'!$X$27</definedName>
    <definedName name="Vout2">'Variable Management'!$B$13</definedName>
    <definedName name="Vref">'Variable Management'!$B$29</definedName>
    <definedName name="Vsd_Q1">'Variable Management'!$B$285</definedName>
    <definedName name="Vsd_Q2">'Variable Management'!$D$285</definedName>
    <definedName name="Vsd_Q3">'Variable Management'!$B$304</definedName>
    <definedName name="Vsd_Q4">'Variable Management'!$D$304</definedName>
    <definedName name="Vsp_Q1">'Variable Management'!$B$283</definedName>
    <definedName name="Vsp_Q2">'Variable Management'!$D$283</definedName>
    <definedName name="Vsp_Q3">'Variable Management'!$B$302</definedName>
    <definedName name="Vsp_Q4">'Variable Management'!$D$302</definedName>
    <definedName name="Vth_Q1">'Variable Management'!$B$282</definedName>
    <definedName name="Vth_Q2">'Variable Management'!$D$282</definedName>
    <definedName name="Vth_Q3">'Variable Management'!$B$301</definedName>
    <definedName name="Vth_Q4">'Variable Management'!$D$301</definedName>
    <definedName name="z_RHP" localSheetId="5">'Ch2 Stability Calculations'!$K$5</definedName>
    <definedName name="z_RHP">'Stability Calculations'!$K$5</definedName>
    <definedName name="Zero1" localSheetId="5">'Ch2 Stability Calculations'!$K$3</definedName>
    <definedName name="Zero1">'Stability Calculations'!$K$3</definedName>
    <definedName name="Zero2" localSheetId="5">'Ch2 Stability Calculations'!$C$4</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5" i="2" l="1"/>
  <c r="D75" i="16" l="1"/>
  <c r="C75" i="16"/>
  <c r="I75" i="16"/>
  <c r="X27" i="2"/>
  <c r="X26" i="2"/>
  <c r="D93" i="2" l="1"/>
  <c r="AN111" i="23" s="1"/>
  <c r="F87" i="2" l="1"/>
  <c r="AA19" i="2"/>
  <c r="B298" i="2" l="1"/>
  <c r="D298" i="2"/>
  <c r="D297" i="2"/>
  <c r="B297" i="2"/>
  <c r="D279" i="2"/>
  <c r="D278" i="2"/>
  <c r="B279" i="2"/>
  <c r="B278" i="2"/>
  <c r="L37" i="1" l="1"/>
  <c r="Q37" i="1"/>
  <c r="L35" i="1"/>
  <c r="L38" i="1"/>
  <c r="D69" i="1" l="1"/>
  <c r="AE687" i="25"/>
  <c r="V613" i="25"/>
  <c r="B613" i="25"/>
  <c r="V612" i="25"/>
  <c r="B612" i="25"/>
  <c r="V611" i="25"/>
  <c r="B611" i="25"/>
  <c r="V610" i="25"/>
  <c r="B610" i="25"/>
  <c r="V609" i="25"/>
  <c r="B609" i="25"/>
  <c r="V608" i="25"/>
  <c r="B608" i="25"/>
  <c r="V607" i="25"/>
  <c r="B607" i="25"/>
  <c r="V606" i="25"/>
  <c r="B606" i="25"/>
  <c r="V605" i="25"/>
  <c r="B605" i="25"/>
  <c r="V604" i="25"/>
  <c r="B604" i="25"/>
  <c r="V603" i="25"/>
  <c r="B603" i="25"/>
  <c r="V602" i="25"/>
  <c r="B602" i="25"/>
  <c r="V601" i="25"/>
  <c r="B601" i="25"/>
  <c r="V600" i="25"/>
  <c r="B600" i="25"/>
  <c r="V599" i="25"/>
  <c r="B599" i="25"/>
  <c r="V598" i="25"/>
  <c r="B598" i="25"/>
  <c r="V597" i="25"/>
  <c r="B597" i="25"/>
  <c r="V596" i="25"/>
  <c r="B596" i="25"/>
  <c r="V595" i="25"/>
  <c r="B595" i="25"/>
  <c r="V594" i="25"/>
  <c r="B594" i="25"/>
  <c r="V593" i="25"/>
  <c r="B593" i="25"/>
  <c r="V592" i="25"/>
  <c r="B592" i="25"/>
  <c r="V591" i="25"/>
  <c r="B591" i="25"/>
  <c r="V590" i="25"/>
  <c r="B590" i="25"/>
  <c r="V589" i="25"/>
  <c r="B589" i="25"/>
  <c r="V588" i="25"/>
  <c r="B588" i="25"/>
  <c r="V587" i="25"/>
  <c r="B587" i="25"/>
  <c r="V586" i="25"/>
  <c r="B586" i="25"/>
  <c r="V585" i="25"/>
  <c r="B585" i="25"/>
  <c r="V584" i="25"/>
  <c r="B584" i="25"/>
  <c r="V583" i="25"/>
  <c r="B583" i="25"/>
  <c r="V582" i="25"/>
  <c r="B582" i="25"/>
  <c r="V581" i="25"/>
  <c r="B581" i="25"/>
  <c r="V580" i="25"/>
  <c r="B580" i="25"/>
  <c r="V579" i="25"/>
  <c r="B579" i="25"/>
  <c r="V578" i="25"/>
  <c r="B578" i="25"/>
  <c r="V577" i="25"/>
  <c r="B577" i="25"/>
  <c r="V576" i="25"/>
  <c r="B576" i="25"/>
  <c r="V575" i="25"/>
  <c r="B575" i="25"/>
  <c r="V574" i="25"/>
  <c r="B574" i="25"/>
  <c r="V573" i="25"/>
  <c r="B573" i="25"/>
  <c r="V572" i="25"/>
  <c r="B572" i="25"/>
  <c r="V571" i="25"/>
  <c r="B571" i="25"/>
  <c r="V570" i="25"/>
  <c r="B570" i="25"/>
  <c r="V569" i="25"/>
  <c r="B569" i="25"/>
  <c r="V568" i="25"/>
  <c r="B568" i="25"/>
  <c r="V567" i="25"/>
  <c r="B567" i="25"/>
  <c r="V566" i="25"/>
  <c r="B566" i="25"/>
  <c r="V565" i="25"/>
  <c r="B565" i="25"/>
  <c r="V564" i="25"/>
  <c r="B564" i="25"/>
  <c r="V563" i="25"/>
  <c r="B563" i="25"/>
  <c r="V562" i="25"/>
  <c r="B562" i="25"/>
  <c r="V561" i="25"/>
  <c r="B561" i="25"/>
  <c r="V560" i="25"/>
  <c r="B560" i="25"/>
  <c r="V559" i="25"/>
  <c r="B559" i="25"/>
  <c r="V558" i="25"/>
  <c r="B558" i="25"/>
  <c r="V557" i="25"/>
  <c r="B557" i="25"/>
  <c r="V556" i="25"/>
  <c r="B556" i="25"/>
  <c r="V555" i="25"/>
  <c r="B555" i="25"/>
  <c r="V554" i="25"/>
  <c r="B554" i="25"/>
  <c r="V553" i="25"/>
  <c r="B553" i="25"/>
  <c r="V552" i="25"/>
  <c r="B552" i="25"/>
  <c r="V551" i="25"/>
  <c r="B551" i="25"/>
  <c r="V550" i="25"/>
  <c r="B550" i="25"/>
  <c r="V549" i="25"/>
  <c r="B549" i="25"/>
  <c r="V548" i="25"/>
  <c r="B548" i="25"/>
  <c r="V547" i="25"/>
  <c r="B547" i="25"/>
  <c r="V546" i="25"/>
  <c r="B546" i="25"/>
  <c r="V545" i="25"/>
  <c r="B545" i="25"/>
  <c r="V544" i="25"/>
  <c r="B544" i="25"/>
  <c r="V543" i="25"/>
  <c r="B543" i="25"/>
  <c r="V542" i="25"/>
  <c r="B542" i="25"/>
  <c r="V541" i="25"/>
  <c r="B541" i="25"/>
  <c r="V540" i="25"/>
  <c r="B540" i="25"/>
  <c r="V539" i="25"/>
  <c r="B539" i="25"/>
  <c r="V538" i="25"/>
  <c r="B538" i="25"/>
  <c r="V537" i="25"/>
  <c r="B537" i="25"/>
  <c r="V536" i="25"/>
  <c r="B536" i="25"/>
  <c r="V535" i="25"/>
  <c r="B535" i="25"/>
  <c r="V534" i="25"/>
  <c r="B534" i="25"/>
  <c r="V533" i="25"/>
  <c r="B533" i="25"/>
  <c r="V532" i="25"/>
  <c r="B532" i="25"/>
  <c r="V531" i="25"/>
  <c r="B531" i="25"/>
  <c r="V530" i="25"/>
  <c r="B530" i="25"/>
  <c r="V529" i="25"/>
  <c r="B529" i="25"/>
  <c r="V528" i="25"/>
  <c r="B528" i="25"/>
  <c r="V527" i="25"/>
  <c r="B527" i="25"/>
  <c r="V526" i="25"/>
  <c r="B526" i="25"/>
  <c r="V525" i="25"/>
  <c r="B525" i="25"/>
  <c r="V524" i="25"/>
  <c r="B524" i="25"/>
  <c r="V523" i="25"/>
  <c r="B523" i="25"/>
  <c r="V522" i="25"/>
  <c r="B522" i="25"/>
  <c r="V521" i="25"/>
  <c r="B521" i="25"/>
  <c r="V520" i="25"/>
  <c r="B520" i="25"/>
  <c r="V519" i="25"/>
  <c r="B519" i="25"/>
  <c r="V518" i="25"/>
  <c r="B518" i="25"/>
  <c r="V517" i="25"/>
  <c r="B517" i="25"/>
  <c r="V516" i="25"/>
  <c r="B516" i="25"/>
  <c r="V515" i="25"/>
  <c r="B515" i="25"/>
  <c r="V514" i="25"/>
  <c r="B514" i="25"/>
  <c r="V513" i="25"/>
  <c r="B513" i="25"/>
  <c r="V512" i="25"/>
  <c r="B512" i="25"/>
  <c r="V511" i="25"/>
  <c r="B511" i="25"/>
  <c r="V510" i="25"/>
  <c r="B510" i="25"/>
  <c r="V509" i="25"/>
  <c r="B509" i="25"/>
  <c r="V508" i="25"/>
  <c r="B508" i="25"/>
  <c r="V507" i="25"/>
  <c r="B507" i="25"/>
  <c r="V506" i="25"/>
  <c r="B506" i="25"/>
  <c r="V505" i="25"/>
  <c r="B505" i="25"/>
  <c r="V504" i="25"/>
  <c r="B504" i="25"/>
  <c r="V503" i="25"/>
  <c r="B503" i="25"/>
  <c r="V502" i="25"/>
  <c r="B502" i="25"/>
  <c r="V501" i="25"/>
  <c r="B501" i="25"/>
  <c r="V500" i="25"/>
  <c r="B500" i="25"/>
  <c r="V499" i="25"/>
  <c r="B499" i="25"/>
  <c r="V498" i="25"/>
  <c r="B498" i="25"/>
  <c r="V497" i="25"/>
  <c r="B497" i="25"/>
  <c r="V496" i="25"/>
  <c r="B496" i="25"/>
  <c r="V495" i="25"/>
  <c r="B495" i="25"/>
  <c r="V494" i="25"/>
  <c r="B494" i="25"/>
  <c r="V493" i="25"/>
  <c r="B493" i="25"/>
  <c r="V492" i="25"/>
  <c r="B492" i="25"/>
  <c r="V491" i="25"/>
  <c r="B491" i="25"/>
  <c r="V490" i="25"/>
  <c r="B490" i="25"/>
  <c r="V489" i="25"/>
  <c r="B489" i="25"/>
  <c r="V488" i="25"/>
  <c r="B488" i="25"/>
  <c r="V487" i="25"/>
  <c r="B487" i="25"/>
  <c r="V486" i="25"/>
  <c r="B486" i="25"/>
  <c r="V485" i="25"/>
  <c r="B485" i="25"/>
  <c r="V484" i="25"/>
  <c r="B484" i="25"/>
  <c r="V483" i="25"/>
  <c r="B483" i="25"/>
  <c r="V482" i="25"/>
  <c r="B482" i="25"/>
  <c r="V481" i="25"/>
  <c r="B481" i="25"/>
  <c r="V480" i="25"/>
  <c r="B480" i="25"/>
  <c r="V479" i="25"/>
  <c r="B479" i="25"/>
  <c r="V478" i="25"/>
  <c r="B478" i="25"/>
  <c r="V477" i="25"/>
  <c r="B477" i="25"/>
  <c r="V476" i="25"/>
  <c r="B476" i="25"/>
  <c r="V475" i="25"/>
  <c r="B475" i="25"/>
  <c r="V474" i="25"/>
  <c r="B474" i="25"/>
  <c r="V473" i="25"/>
  <c r="B473" i="25"/>
  <c r="V472" i="25"/>
  <c r="B472" i="25"/>
  <c r="V471" i="25"/>
  <c r="B471" i="25"/>
  <c r="V470" i="25"/>
  <c r="B470" i="25"/>
  <c r="V469" i="25"/>
  <c r="B469" i="25"/>
  <c r="V468" i="25"/>
  <c r="B468" i="25"/>
  <c r="V467" i="25"/>
  <c r="B467" i="25"/>
  <c r="V466" i="25"/>
  <c r="B466" i="25"/>
  <c r="V465" i="25"/>
  <c r="B465" i="25"/>
  <c r="V464" i="25"/>
  <c r="B464" i="25"/>
  <c r="V463" i="25"/>
  <c r="B463" i="25"/>
  <c r="V462" i="25"/>
  <c r="B462" i="25"/>
  <c r="V461" i="25"/>
  <c r="B461" i="25"/>
  <c r="V460" i="25"/>
  <c r="B460" i="25"/>
  <c r="V459" i="25"/>
  <c r="B459" i="25"/>
  <c r="V458" i="25"/>
  <c r="B458" i="25"/>
  <c r="V457" i="25"/>
  <c r="B457" i="25"/>
  <c r="V456" i="25"/>
  <c r="B456" i="25"/>
  <c r="V455" i="25"/>
  <c r="B455" i="25"/>
  <c r="V454" i="25"/>
  <c r="B454" i="25"/>
  <c r="V453" i="25"/>
  <c r="B453" i="25"/>
  <c r="V452" i="25"/>
  <c r="B452" i="25"/>
  <c r="V451" i="25"/>
  <c r="B451" i="25"/>
  <c r="V450" i="25"/>
  <c r="B450" i="25"/>
  <c r="V449" i="25"/>
  <c r="B449" i="25"/>
  <c r="V448" i="25"/>
  <c r="B448" i="25"/>
  <c r="V447" i="25"/>
  <c r="B447" i="25"/>
  <c r="V446" i="25"/>
  <c r="B446" i="25"/>
  <c r="V445" i="25"/>
  <c r="B445" i="25"/>
  <c r="V444" i="25"/>
  <c r="B444" i="25"/>
  <c r="V443" i="25"/>
  <c r="B443" i="25"/>
  <c r="V442" i="25"/>
  <c r="B442" i="25"/>
  <c r="V441" i="25"/>
  <c r="B441" i="25"/>
  <c r="V440" i="25"/>
  <c r="B440" i="25"/>
  <c r="V439" i="25"/>
  <c r="B439" i="25"/>
  <c r="V438" i="25"/>
  <c r="B438" i="25"/>
  <c r="V437" i="25"/>
  <c r="B437" i="25"/>
  <c r="V436" i="25"/>
  <c r="B436" i="25"/>
  <c r="V435" i="25"/>
  <c r="B435" i="25"/>
  <c r="V434" i="25"/>
  <c r="B434" i="25"/>
  <c r="V433" i="25"/>
  <c r="B433" i="25"/>
  <c r="V432" i="25"/>
  <c r="B432" i="25"/>
  <c r="V431" i="25"/>
  <c r="B431" i="25"/>
  <c r="V430" i="25"/>
  <c r="B430" i="25"/>
  <c r="V429" i="25"/>
  <c r="B429" i="25"/>
  <c r="V428" i="25"/>
  <c r="B428" i="25"/>
  <c r="V427" i="25"/>
  <c r="B427" i="25"/>
  <c r="V426" i="25"/>
  <c r="B426" i="25"/>
  <c r="V425" i="25"/>
  <c r="B425" i="25"/>
  <c r="V424" i="25"/>
  <c r="B424" i="25"/>
  <c r="V423" i="25"/>
  <c r="B423" i="25"/>
  <c r="V422" i="25"/>
  <c r="B422" i="25"/>
  <c r="V421" i="25"/>
  <c r="B421" i="25"/>
  <c r="V420" i="25"/>
  <c r="B420" i="25"/>
  <c r="V419" i="25"/>
  <c r="B419" i="25"/>
  <c r="V418" i="25"/>
  <c r="B418" i="25"/>
  <c r="V417" i="25"/>
  <c r="B417" i="25"/>
  <c r="V416" i="25"/>
  <c r="B416" i="25"/>
  <c r="V415" i="25"/>
  <c r="B415" i="25"/>
  <c r="V414" i="25"/>
  <c r="B414" i="25"/>
  <c r="V413" i="25"/>
  <c r="B413" i="25"/>
  <c r="V412" i="25"/>
  <c r="B412" i="25"/>
  <c r="V411" i="25"/>
  <c r="B411" i="25"/>
  <c r="V410" i="25"/>
  <c r="B410" i="25"/>
  <c r="V409" i="25"/>
  <c r="B409" i="25"/>
  <c r="V408" i="25"/>
  <c r="B408" i="25"/>
  <c r="V407" i="25"/>
  <c r="B407" i="25"/>
  <c r="V406" i="25"/>
  <c r="B406" i="25"/>
  <c r="V405" i="25"/>
  <c r="B405" i="25"/>
  <c r="V404" i="25"/>
  <c r="B404" i="25"/>
  <c r="V403" i="25"/>
  <c r="B403" i="25"/>
  <c r="V402" i="25"/>
  <c r="B402" i="25"/>
  <c r="V401" i="25"/>
  <c r="B401" i="25"/>
  <c r="V400" i="25"/>
  <c r="B400" i="25"/>
  <c r="V399" i="25"/>
  <c r="B399" i="25"/>
  <c r="V398" i="25"/>
  <c r="B398" i="25"/>
  <c r="V397" i="25"/>
  <c r="B397" i="25"/>
  <c r="V396" i="25"/>
  <c r="B396" i="25"/>
  <c r="V395" i="25"/>
  <c r="B395" i="25"/>
  <c r="V394" i="25"/>
  <c r="B394" i="25"/>
  <c r="V393" i="25"/>
  <c r="B393" i="25"/>
  <c r="V392" i="25"/>
  <c r="B392" i="25"/>
  <c r="V391" i="25"/>
  <c r="B391" i="25"/>
  <c r="V390" i="25"/>
  <c r="B390" i="25"/>
  <c r="V389" i="25"/>
  <c r="B389" i="25"/>
  <c r="V388" i="25"/>
  <c r="B388" i="25"/>
  <c r="V387" i="25"/>
  <c r="B387" i="25"/>
  <c r="V386" i="25"/>
  <c r="B386" i="25"/>
  <c r="V385" i="25"/>
  <c r="B385" i="25"/>
  <c r="V384" i="25"/>
  <c r="B384" i="25"/>
  <c r="V383" i="25"/>
  <c r="B383" i="25"/>
  <c r="V382" i="25"/>
  <c r="B382" i="25"/>
  <c r="V381" i="25"/>
  <c r="B381" i="25"/>
  <c r="V380" i="25"/>
  <c r="B380" i="25"/>
  <c r="V379" i="25"/>
  <c r="B379" i="25"/>
  <c r="V378" i="25"/>
  <c r="B378" i="25"/>
  <c r="V377" i="25"/>
  <c r="B377" i="25"/>
  <c r="V376" i="25"/>
  <c r="B376" i="25"/>
  <c r="V375" i="25"/>
  <c r="B375" i="25"/>
  <c r="V374" i="25"/>
  <c r="B374" i="25"/>
  <c r="V373" i="25"/>
  <c r="B373" i="25"/>
  <c r="V372" i="25"/>
  <c r="B372" i="25"/>
  <c r="V371" i="25"/>
  <c r="B371" i="25"/>
  <c r="V370" i="25"/>
  <c r="B370" i="25"/>
  <c r="V369" i="25"/>
  <c r="B369" i="25"/>
  <c r="V368" i="25"/>
  <c r="B368" i="25"/>
  <c r="V367" i="25"/>
  <c r="B367" i="25"/>
  <c r="V366" i="25"/>
  <c r="B366" i="25"/>
  <c r="V365" i="25"/>
  <c r="B365" i="25"/>
  <c r="V364" i="25"/>
  <c r="B364" i="25"/>
  <c r="V363" i="25"/>
  <c r="B363" i="25"/>
  <c r="V362" i="25"/>
  <c r="B362" i="25"/>
  <c r="V361" i="25"/>
  <c r="B361" i="25"/>
  <c r="V360" i="25"/>
  <c r="B360" i="25"/>
  <c r="V359" i="25"/>
  <c r="B359" i="25"/>
  <c r="V358" i="25"/>
  <c r="B358" i="25"/>
  <c r="V357" i="25"/>
  <c r="B357" i="25"/>
  <c r="V356" i="25"/>
  <c r="B356" i="25"/>
  <c r="V355" i="25"/>
  <c r="B355" i="25"/>
  <c r="V354" i="25"/>
  <c r="B354" i="25"/>
  <c r="V353" i="25"/>
  <c r="B353" i="25"/>
  <c r="V352" i="25"/>
  <c r="B352" i="25"/>
  <c r="V351" i="25"/>
  <c r="B351" i="25"/>
  <c r="V350" i="25"/>
  <c r="B350" i="25"/>
  <c r="V349" i="25"/>
  <c r="B349" i="25"/>
  <c r="V348" i="25"/>
  <c r="B348" i="25"/>
  <c r="V347" i="25"/>
  <c r="B347" i="25"/>
  <c r="V346" i="25"/>
  <c r="B346" i="25"/>
  <c r="V345" i="25"/>
  <c r="B345" i="25"/>
  <c r="V344" i="25"/>
  <c r="B344" i="25"/>
  <c r="V343" i="25"/>
  <c r="B343" i="25"/>
  <c r="V342" i="25"/>
  <c r="B342" i="25"/>
  <c r="V341" i="25"/>
  <c r="B341" i="25"/>
  <c r="V340" i="25"/>
  <c r="B340" i="25"/>
  <c r="V339" i="25"/>
  <c r="B339" i="25"/>
  <c r="V338" i="25"/>
  <c r="B338" i="25"/>
  <c r="V337" i="25"/>
  <c r="B337" i="25"/>
  <c r="V336" i="25"/>
  <c r="B336" i="25"/>
  <c r="V335" i="25"/>
  <c r="B335" i="25"/>
  <c r="V334" i="25"/>
  <c r="B334" i="25"/>
  <c r="V333" i="25"/>
  <c r="B333" i="25"/>
  <c r="V332" i="25"/>
  <c r="B332" i="25"/>
  <c r="V331" i="25"/>
  <c r="B331" i="25"/>
  <c r="V330" i="25"/>
  <c r="B330" i="25"/>
  <c r="V329" i="25"/>
  <c r="B329" i="25"/>
  <c r="V328" i="25"/>
  <c r="B328" i="25"/>
  <c r="V327" i="25"/>
  <c r="B327" i="25"/>
  <c r="V326" i="25"/>
  <c r="B326" i="25"/>
  <c r="V325" i="25"/>
  <c r="B325" i="25"/>
  <c r="V324" i="25"/>
  <c r="B324" i="25"/>
  <c r="V323" i="25"/>
  <c r="B323" i="25"/>
  <c r="V322" i="25"/>
  <c r="B322" i="25"/>
  <c r="V321" i="25"/>
  <c r="B321" i="25"/>
  <c r="V320" i="25"/>
  <c r="B320" i="25"/>
  <c r="V319" i="25"/>
  <c r="B319" i="25"/>
  <c r="V318" i="25"/>
  <c r="B318" i="25"/>
  <c r="V317" i="25"/>
  <c r="B317" i="25"/>
  <c r="V316" i="25"/>
  <c r="B316" i="25"/>
  <c r="V315" i="25"/>
  <c r="B315" i="25"/>
  <c r="V314" i="25"/>
  <c r="B314" i="25"/>
  <c r="V313" i="25"/>
  <c r="B313" i="25"/>
  <c r="V312" i="25"/>
  <c r="B312" i="25"/>
  <c r="V311" i="25"/>
  <c r="B311" i="25"/>
  <c r="V310" i="25"/>
  <c r="B310" i="25"/>
  <c r="V309" i="25"/>
  <c r="B309" i="25"/>
  <c r="V308" i="25"/>
  <c r="B308" i="25"/>
  <c r="V307" i="25"/>
  <c r="B307" i="25"/>
  <c r="V306" i="25"/>
  <c r="B306" i="25"/>
  <c r="V305" i="25"/>
  <c r="B305" i="25"/>
  <c r="V304" i="25"/>
  <c r="B304" i="25"/>
  <c r="V303" i="25"/>
  <c r="B303" i="25"/>
  <c r="V302" i="25"/>
  <c r="B302" i="25"/>
  <c r="V301" i="25"/>
  <c r="B301" i="25"/>
  <c r="V300" i="25"/>
  <c r="B300" i="25"/>
  <c r="V299" i="25"/>
  <c r="B299" i="25"/>
  <c r="V298" i="25"/>
  <c r="B298" i="25"/>
  <c r="V297" i="25"/>
  <c r="B297" i="25"/>
  <c r="V296" i="25"/>
  <c r="B296" i="25"/>
  <c r="V295" i="25"/>
  <c r="B295" i="25"/>
  <c r="V294" i="25"/>
  <c r="B294" i="25"/>
  <c r="V293" i="25"/>
  <c r="B293" i="25"/>
  <c r="V292" i="25"/>
  <c r="B292" i="25"/>
  <c r="V291" i="25"/>
  <c r="B291" i="25"/>
  <c r="V290" i="25"/>
  <c r="B290" i="25"/>
  <c r="V289" i="25"/>
  <c r="B289" i="25"/>
  <c r="V288" i="25"/>
  <c r="B288" i="25"/>
  <c r="V287" i="25"/>
  <c r="B287" i="25"/>
  <c r="V286" i="25"/>
  <c r="B286" i="25"/>
  <c r="V285" i="25"/>
  <c r="B285" i="25"/>
  <c r="V284" i="25"/>
  <c r="B284" i="25"/>
  <c r="V283" i="25"/>
  <c r="B283" i="25"/>
  <c r="V282" i="25"/>
  <c r="B282" i="25"/>
  <c r="V281" i="25"/>
  <c r="B281" i="25"/>
  <c r="V280" i="25"/>
  <c r="B280" i="25"/>
  <c r="V279" i="25"/>
  <c r="B279" i="25"/>
  <c r="V278" i="25"/>
  <c r="B278" i="25"/>
  <c r="V277" i="25"/>
  <c r="B277" i="25"/>
  <c r="V276" i="25"/>
  <c r="B276" i="25"/>
  <c r="V275" i="25"/>
  <c r="B275" i="25"/>
  <c r="V274" i="25"/>
  <c r="B274" i="25"/>
  <c r="V273" i="25"/>
  <c r="B273" i="25"/>
  <c r="V272" i="25"/>
  <c r="B272" i="25"/>
  <c r="V271" i="25"/>
  <c r="B271" i="25"/>
  <c r="V270" i="25"/>
  <c r="B270" i="25"/>
  <c r="V269" i="25"/>
  <c r="B269" i="25"/>
  <c r="V268" i="25"/>
  <c r="B268" i="25"/>
  <c r="V267" i="25"/>
  <c r="B267" i="25"/>
  <c r="V266" i="25"/>
  <c r="B266" i="25"/>
  <c r="V265" i="25"/>
  <c r="B265" i="25"/>
  <c r="V264" i="25"/>
  <c r="B264" i="25"/>
  <c r="V263" i="25"/>
  <c r="B263" i="25"/>
  <c r="V262" i="25"/>
  <c r="B262" i="25"/>
  <c r="V261" i="25"/>
  <c r="B261" i="25"/>
  <c r="V260" i="25"/>
  <c r="B260" i="25"/>
  <c r="V259" i="25"/>
  <c r="B259" i="25"/>
  <c r="V258" i="25"/>
  <c r="B258" i="25"/>
  <c r="V257" i="25"/>
  <c r="B257" i="25"/>
  <c r="V256" i="25"/>
  <c r="B256" i="25"/>
  <c r="V255" i="25"/>
  <c r="B255" i="25"/>
  <c r="V254" i="25"/>
  <c r="B254" i="25"/>
  <c r="V253" i="25"/>
  <c r="B253" i="25"/>
  <c r="V252" i="25"/>
  <c r="B252" i="25"/>
  <c r="V251" i="25"/>
  <c r="B251" i="25"/>
  <c r="V250" i="25"/>
  <c r="B250" i="25"/>
  <c r="V249" i="25"/>
  <c r="B249" i="25"/>
  <c r="V248" i="25"/>
  <c r="B248" i="25"/>
  <c r="V247" i="25"/>
  <c r="B247" i="25"/>
  <c r="V246" i="25"/>
  <c r="B246" i="25"/>
  <c r="V245" i="25"/>
  <c r="B245" i="25"/>
  <c r="V244" i="25"/>
  <c r="B244" i="25"/>
  <c r="V243" i="25"/>
  <c r="B243" i="25"/>
  <c r="V242" i="25"/>
  <c r="B242" i="25"/>
  <c r="V241" i="25"/>
  <c r="B241" i="25"/>
  <c r="V240" i="25"/>
  <c r="B240" i="25"/>
  <c r="V239" i="25"/>
  <c r="B239" i="25"/>
  <c r="V238" i="25"/>
  <c r="B238" i="25"/>
  <c r="V237" i="25"/>
  <c r="B237" i="25"/>
  <c r="V236" i="25"/>
  <c r="B236" i="25"/>
  <c r="V235" i="25"/>
  <c r="B235" i="25"/>
  <c r="V234" i="25"/>
  <c r="B234" i="25"/>
  <c r="V233" i="25"/>
  <c r="B233" i="25"/>
  <c r="V232" i="25"/>
  <c r="B232" i="25"/>
  <c r="V231" i="25"/>
  <c r="B231" i="25"/>
  <c r="V230" i="25"/>
  <c r="B230" i="25"/>
  <c r="V229" i="25"/>
  <c r="B229" i="25"/>
  <c r="V228" i="25"/>
  <c r="B228" i="25"/>
  <c r="V227" i="25"/>
  <c r="B227" i="25"/>
  <c r="V226" i="25"/>
  <c r="B226" i="25"/>
  <c r="V225" i="25"/>
  <c r="B225" i="25"/>
  <c r="V224" i="25"/>
  <c r="B224" i="25"/>
  <c r="V223" i="25"/>
  <c r="B223" i="25"/>
  <c r="V222" i="25"/>
  <c r="B222" i="25"/>
  <c r="V221" i="25"/>
  <c r="B221" i="25"/>
  <c r="V220" i="25"/>
  <c r="B220" i="25"/>
  <c r="V219" i="25"/>
  <c r="B219" i="25"/>
  <c r="V218" i="25"/>
  <c r="B218" i="25"/>
  <c r="V217" i="25"/>
  <c r="B217" i="25"/>
  <c r="V216" i="25"/>
  <c r="B216" i="25"/>
  <c r="V215" i="25"/>
  <c r="B215" i="25"/>
  <c r="V214" i="25"/>
  <c r="B214" i="25"/>
  <c r="V213" i="25"/>
  <c r="B213" i="25"/>
  <c r="V212" i="25"/>
  <c r="B212" i="25"/>
  <c r="V211" i="25"/>
  <c r="B211" i="25"/>
  <c r="V210" i="25"/>
  <c r="B210" i="25"/>
  <c r="V209" i="25"/>
  <c r="B209" i="25"/>
  <c r="V208" i="25"/>
  <c r="B208" i="25"/>
  <c r="V207" i="25"/>
  <c r="B207" i="25"/>
  <c r="V206" i="25"/>
  <c r="B206" i="25"/>
  <c r="V205" i="25"/>
  <c r="B205" i="25"/>
  <c r="V204" i="25"/>
  <c r="B204" i="25"/>
  <c r="V203" i="25"/>
  <c r="B203" i="25"/>
  <c r="V202" i="25"/>
  <c r="B202" i="25"/>
  <c r="V201" i="25"/>
  <c r="B201" i="25"/>
  <c r="V200" i="25"/>
  <c r="B200" i="25"/>
  <c r="V199" i="25"/>
  <c r="B199" i="25"/>
  <c r="V198" i="25"/>
  <c r="B198" i="25"/>
  <c r="V197" i="25"/>
  <c r="B197" i="25"/>
  <c r="V196" i="25"/>
  <c r="B196" i="25"/>
  <c r="V195" i="25"/>
  <c r="B195" i="25"/>
  <c r="V194" i="25"/>
  <c r="B194" i="25"/>
  <c r="V193" i="25"/>
  <c r="B193" i="25"/>
  <c r="V192" i="25"/>
  <c r="B192" i="25"/>
  <c r="V191" i="25"/>
  <c r="B191" i="25"/>
  <c r="V190" i="25"/>
  <c r="B190" i="25"/>
  <c r="V189" i="25"/>
  <c r="B189" i="25"/>
  <c r="V188" i="25"/>
  <c r="B188" i="25"/>
  <c r="V187" i="25"/>
  <c r="B187" i="25"/>
  <c r="V186" i="25"/>
  <c r="B186" i="25"/>
  <c r="V185" i="25"/>
  <c r="B185" i="25"/>
  <c r="V184" i="25"/>
  <c r="B184" i="25"/>
  <c r="V183" i="25"/>
  <c r="B183" i="25"/>
  <c r="V182" i="25"/>
  <c r="B182" i="25"/>
  <c r="V181" i="25"/>
  <c r="B181" i="25"/>
  <c r="V180" i="25"/>
  <c r="B180" i="25"/>
  <c r="V179" i="25"/>
  <c r="B179" i="25"/>
  <c r="V178" i="25"/>
  <c r="B178" i="25"/>
  <c r="V177" i="25"/>
  <c r="B177" i="25"/>
  <c r="V176" i="25"/>
  <c r="B176" i="25"/>
  <c r="V175" i="25"/>
  <c r="B175" i="25"/>
  <c r="V174" i="25"/>
  <c r="B174" i="25"/>
  <c r="V173" i="25"/>
  <c r="B173" i="25"/>
  <c r="V172" i="25"/>
  <c r="B172" i="25"/>
  <c r="V171" i="25"/>
  <c r="B171" i="25"/>
  <c r="V170" i="25"/>
  <c r="B170" i="25"/>
  <c r="V169" i="25"/>
  <c r="B169" i="25"/>
  <c r="V168" i="25"/>
  <c r="B168" i="25"/>
  <c r="V167" i="25"/>
  <c r="B167" i="25"/>
  <c r="V166" i="25"/>
  <c r="B166" i="25"/>
  <c r="V165" i="25"/>
  <c r="B165" i="25"/>
  <c r="V164" i="25"/>
  <c r="B164" i="25"/>
  <c r="V163" i="25"/>
  <c r="B163" i="25"/>
  <c r="V162" i="25"/>
  <c r="B162" i="25"/>
  <c r="V161" i="25"/>
  <c r="B161" i="25"/>
  <c r="V160" i="25"/>
  <c r="B160" i="25"/>
  <c r="V159" i="25"/>
  <c r="B159" i="25"/>
  <c r="V158" i="25"/>
  <c r="B158" i="25"/>
  <c r="V157" i="25"/>
  <c r="B157" i="25"/>
  <c r="V156" i="25"/>
  <c r="B156" i="25"/>
  <c r="V155" i="25"/>
  <c r="B155" i="25"/>
  <c r="V154" i="25"/>
  <c r="B154" i="25"/>
  <c r="V153" i="25"/>
  <c r="B153" i="25"/>
  <c r="V152" i="25"/>
  <c r="B152" i="25"/>
  <c r="V151" i="25"/>
  <c r="B151" i="25"/>
  <c r="V150" i="25"/>
  <c r="B150" i="25"/>
  <c r="V149" i="25"/>
  <c r="B149" i="25"/>
  <c r="V148" i="25"/>
  <c r="B148" i="25"/>
  <c r="V147" i="25"/>
  <c r="B147" i="25"/>
  <c r="V146" i="25"/>
  <c r="B146" i="25"/>
  <c r="V145" i="25"/>
  <c r="B145" i="25"/>
  <c r="V144" i="25"/>
  <c r="B144" i="25"/>
  <c r="V143" i="25"/>
  <c r="B143" i="25"/>
  <c r="V142" i="25"/>
  <c r="B142" i="25"/>
  <c r="V141" i="25"/>
  <c r="B141" i="25"/>
  <c r="V140" i="25"/>
  <c r="B140" i="25"/>
  <c r="V139" i="25"/>
  <c r="B139" i="25"/>
  <c r="V138" i="25"/>
  <c r="B138" i="25"/>
  <c r="V137" i="25"/>
  <c r="B137" i="25"/>
  <c r="V136" i="25"/>
  <c r="B136" i="25"/>
  <c r="V135" i="25"/>
  <c r="B135" i="25"/>
  <c r="V134" i="25"/>
  <c r="B134" i="25"/>
  <c r="V133" i="25"/>
  <c r="B133" i="25"/>
  <c r="V132" i="25"/>
  <c r="B132" i="25"/>
  <c r="V131" i="25"/>
  <c r="B131" i="25"/>
  <c r="V130" i="25"/>
  <c r="B130" i="25"/>
  <c r="V129" i="25"/>
  <c r="B129" i="25"/>
  <c r="V128" i="25"/>
  <c r="B128" i="25"/>
  <c r="V127" i="25"/>
  <c r="B127" i="25"/>
  <c r="V126" i="25"/>
  <c r="B126" i="25"/>
  <c r="V125" i="25"/>
  <c r="B125" i="25"/>
  <c r="V124" i="25"/>
  <c r="B124" i="25"/>
  <c r="V123" i="25"/>
  <c r="B123" i="25"/>
  <c r="V122" i="25"/>
  <c r="B122" i="25"/>
  <c r="V121" i="25"/>
  <c r="B121" i="25"/>
  <c r="V120" i="25"/>
  <c r="B120" i="25"/>
  <c r="V119" i="25"/>
  <c r="B119" i="25"/>
  <c r="V118" i="25"/>
  <c r="B118" i="25"/>
  <c r="V117" i="25"/>
  <c r="B117" i="25"/>
  <c r="V116" i="25"/>
  <c r="B116" i="25"/>
  <c r="V115" i="25"/>
  <c r="B115" i="25"/>
  <c r="V114" i="25"/>
  <c r="B114" i="25"/>
  <c r="V113" i="25"/>
  <c r="B113" i="25"/>
  <c r="V112" i="25"/>
  <c r="B112" i="25"/>
  <c r="V111" i="25"/>
  <c r="B111" i="25"/>
  <c r="V110" i="25"/>
  <c r="B110" i="25"/>
  <c r="V109" i="25"/>
  <c r="B109" i="25"/>
  <c r="V108" i="25"/>
  <c r="B108" i="25"/>
  <c r="V107" i="25"/>
  <c r="B107" i="25"/>
  <c r="V106" i="25"/>
  <c r="B106" i="25"/>
  <c r="V105" i="25"/>
  <c r="B105" i="25"/>
  <c r="V104" i="25"/>
  <c r="B104" i="25"/>
  <c r="V103" i="25"/>
  <c r="B103" i="25"/>
  <c r="V102" i="25"/>
  <c r="B102" i="25"/>
  <c r="V101" i="25"/>
  <c r="B101" i="25"/>
  <c r="V100" i="25"/>
  <c r="B100" i="25"/>
  <c r="V99" i="25"/>
  <c r="B99" i="25"/>
  <c r="V98" i="25"/>
  <c r="B98" i="25"/>
  <c r="V97" i="25"/>
  <c r="B97" i="25"/>
  <c r="V96" i="25"/>
  <c r="B96" i="25"/>
  <c r="V95" i="25"/>
  <c r="B95" i="25"/>
  <c r="V94" i="25"/>
  <c r="B94" i="25"/>
  <c r="V93" i="25"/>
  <c r="B93" i="25"/>
  <c r="V92" i="25"/>
  <c r="B92" i="25"/>
  <c r="V91" i="25"/>
  <c r="B91" i="25"/>
  <c r="V90" i="25"/>
  <c r="B90" i="25"/>
  <c r="V89" i="25"/>
  <c r="B89" i="25"/>
  <c r="V88" i="25"/>
  <c r="B88" i="25"/>
  <c r="V87" i="25"/>
  <c r="B87" i="25"/>
  <c r="V86" i="25"/>
  <c r="B86" i="25"/>
  <c r="V85" i="25"/>
  <c r="B85" i="25"/>
  <c r="V84" i="25"/>
  <c r="B84" i="25"/>
  <c r="V83" i="25"/>
  <c r="B83" i="25"/>
  <c r="V82" i="25"/>
  <c r="B82" i="25"/>
  <c r="V81" i="25"/>
  <c r="B81" i="25"/>
  <c r="V80" i="25"/>
  <c r="B80" i="25"/>
  <c r="V79" i="25"/>
  <c r="B79" i="25"/>
  <c r="V78" i="25"/>
  <c r="B78" i="25"/>
  <c r="V77" i="25"/>
  <c r="B77" i="25"/>
  <c r="V76" i="25"/>
  <c r="B76" i="25"/>
  <c r="V75" i="25"/>
  <c r="B75" i="25"/>
  <c r="V74" i="25"/>
  <c r="B74" i="25"/>
  <c r="V73" i="25"/>
  <c r="B73" i="25"/>
  <c r="V72" i="25"/>
  <c r="B72" i="25"/>
  <c r="V71" i="25"/>
  <c r="B71" i="25"/>
  <c r="V70" i="25"/>
  <c r="B70" i="25"/>
  <c r="V69" i="25"/>
  <c r="B69" i="25"/>
  <c r="V68" i="25"/>
  <c r="B68" i="25"/>
  <c r="V67" i="25"/>
  <c r="B67" i="25"/>
  <c r="V66" i="25"/>
  <c r="B66" i="25"/>
  <c r="V65" i="25"/>
  <c r="B65" i="25"/>
  <c r="V64" i="25"/>
  <c r="B64" i="25"/>
  <c r="V63" i="25"/>
  <c r="B63" i="25"/>
  <c r="V62" i="25"/>
  <c r="B62" i="25"/>
  <c r="V61" i="25"/>
  <c r="B61" i="25"/>
  <c r="V60" i="25"/>
  <c r="B60" i="25"/>
  <c r="V59" i="25"/>
  <c r="B59" i="25"/>
  <c r="V58" i="25"/>
  <c r="B58" i="25"/>
  <c r="V57" i="25"/>
  <c r="B57" i="25"/>
  <c r="V56" i="25"/>
  <c r="B56" i="25"/>
  <c r="V55" i="25"/>
  <c r="B55" i="25"/>
  <c r="V54" i="25"/>
  <c r="B54" i="25"/>
  <c r="V53" i="25"/>
  <c r="B53" i="25"/>
  <c r="V52" i="25"/>
  <c r="B52" i="25"/>
  <c r="V51" i="25"/>
  <c r="B51" i="25"/>
  <c r="V50" i="25"/>
  <c r="B50" i="25"/>
  <c r="V49" i="25"/>
  <c r="B49" i="25"/>
  <c r="V48" i="25"/>
  <c r="B48" i="25"/>
  <c r="V47" i="25"/>
  <c r="B47" i="25"/>
  <c r="V46" i="25"/>
  <c r="B46" i="25"/>
  <c r="V45" i="25"/>
  <c r="B45" i="25"/>
  <c r="V44" i="25"/>
  <c r="B44" i="25"/>
  <c r="V43" i="25"/>
  <c r="B43" i="25"/>
  <c r="V42" i="25"/>
  <c r="B42" i="25"/>
  <c r="V41" i="25"/>
  <c r="B41" i="25"/>
  <c r="V40" i="25"/>
  <c r="B40" i="25"/>
  <c r="V39" i="25"/>
  <c r="B39" i="25"/>
  <c r="V38" i="25"/>
  <c r="B38" i="25"/>
  <c r="V37" i="25"/>
  <c r="B37" i="25"/>
  <c r="V36" i="25"/>
  <c r="B36" i="25"/>
  <c r="V35" i="25"/>
  <c r="B35" i="25"/>
  <c r="V34" i="25"/>
  <c r="B34" i="25"/>
  <c r="V33" i="25"/>
  <c r="B33" i="25"/>
  <c r="V32" i="25"/>
  <c r="B32" i="25"/>
  <c r="V31" i="25"/>
  <c r="B31" i="25"/>
  <c r="V30" i="25"/>
  <c r="B30" i="25"/>
  <c r="V29" i="25"/>
  <c r="B29" i="25"/>
  <c r="V28" i="25"/>
  <c r="B28" i="25"/>
  <c r="V27" i="25"/>
  <c r="B27" i="25"/>
  <c r="V26" i="25"/>
  <c r="B26" i="25"/>
  <c r="V25" i="25"/>
  <c r="B25" i="25"/>
  <c r="V24" i="25"/>
  <c r="B24" i="25"/>
  <c r="V23" i="25"/>
  <c r="B23" i="25"/>
  <c r="V22" i="25"/>
  <c r="B22" i="25"/>
  <c r="V21" i="25"/>
  <c r="B21" i="25"/>
  <c r="V20" i="25"/>
  <c r="B20" i="25"/>
  <c r="V19" i="25"/>
  <c r="B19" i="25"/>
  <c r="V18" i="25"/>
  <c r="B18" i="25"/>
  <c r="V17" i="25"/>
  <c r="B17" i="25"/>
  <c r="V16" i="25"/>
  <c r="B16" i="25"/>
  <c r="V15" i="25"/>
  <c r="B15" i="25"/>
  <c r="V14" i="25"/>
  <c r="B14" i="25"/>
  <c r="V13" i="25"/>
  <c r="B13" i="25"/>
  <c r="Q6" i="25"/>
  <c r="I3" i="25"/>
  <c r="D56" i="1"/>
  <c r="U15" i="2"/>
  <c r="B345" i="2" l="1"/>
  <c r="A628" i="25"/>
  <c r="B253" i="2"/>
  <c r="A2" i="19"/>
  <c r="A2" i="24"/>
  <c r="F6" i="24"/>
  <c r="I38" i="16" l="1"/>
  <c r="I37" i="16"/>
  <c r="Z8" i="2"/>
  <c r="K8" i="2"/>
  <c r="A2" i="22"/>
  <c r="D57" i="1"/>
  <c r="B12" i="2" l="1"/>
  <c r="B137" i="2" s="1"/>
  <c r="A53" i="16"/>
  <c r="J11" i="21" l="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363" i="2" l="1"/>
  <c r="D299" i="2"/>
  <c r="B52" i="23" s="1"/>
  <c r="B299" i="2"/>
  <c r="B42" i="23" s="1"/>
  <c r="B55" i="23"/>
  <c r="D305" i="2"/>
  <c r="B54" i="23" s="1"/>
  <c r="T109" i="23"/>
  <c r="T108" i="23"/>
  <c r="T107" i="23"/>
  <c r="T106" i="23"/>
  <c r="T105" i="23"/>
  <c r="T104" i="23"/>
  <c r="T103" i="23"/>
  <c r="T102" i="23"/>
  <c r="T101" i="23"/>
  <c r="T100" i="23"/>
  <c r="T99" i="23"/>
  <c r="T98" i="23"/>
  <c r="T97" i="23"/>
  <c r="T96" i="23"/>
  <c r="T95" i="23"/>
  <c r="T94" i="23"/>
  <c r="T93" i="23"/>
  <c r="T92" i="23"/>
  <c r="T91" i="23"/>
  <c r="T90" i="23"/>
  <c r="T89" i="23"/>
  <c r="T88" i="23"/>
  <c r="T87" i="23"/>
  <c r="T86" i="23"/>
  <c r="T85" i="23"/>
  <c r="T84" i="23"/>
  <c r="T83" i="23"/>
  <c r="T82" i="23"/>
  <c r="T81" i="23"/>
  <c r="T80" i="23"/>
  <c r="T79" i="23"/>
  <c r="T78" i="23"/>
  <c r="T77" i="23"/>
  <c r="T76" i="23"/>
  <c r="T75" i="23"/>
  <c r="T74" i="23"/>
  <c r="T73" i="23"/>
  <c r="T72" i="23"/>
  <c r="T71" i="23"/>
  <c r="T70" i="23"/>
  <c r="T69" i="23"/>
  <c r="T68" i="23"/>
  <c r="T67" i="23"/>
  <c r="T66" i="23"/>
  <c r="T65" i="23"/>
  <c r="T64" i="23"/>
  <c r="T63" i="23"/>
  <c r="T62" i="23"/>
  <c r="T61" i="23"/>
  <c r="T60" i="23"/>
  <c r="B60" i="23"/>
  <c r="T59" i="23"/>
  <c r="T58" i="23"/>
  <c r="T57" i="23"/>
  <c r="T56" i="23"/>
  <c r="T55" i="23"/>
  <c r="T54" i="23"/>
  <c r="T53" i="23"/>
  <c r="T52" i="23"/>
  <c r="T51" i="23"/>
  <c r="T50" i="23"/>
  <c r="T49" i="23"/>
  <c r="T48" i="23"/>
  <c r="T47" i="23"/>
  <c r="T46" i="23"/>
  <c r="T45" i="23"/>
  <c r="T44" i="23"/>
  <c r="T43" i="23"/>
  <c r="T42" i="23"/>
  <c r="T41" i="23"/>
  <c r="T40" i="23"/>
  <c r="T39" i="23"/>
  <c r="T38" i="23"/>
  <c r="T37" i="23"/>
  <c r="T36" i="23"/>
  <c r="T35" i="23"/>
  <c r="B35" i="23"/>
  <c r="T34" i="23"/>
  <c r="T33" i="23"/>
  <c r="B33" i="23"/>
  <c r="T32" i="23"/>
  <c r="T31" i="23"/>
  <c r="T30" i="23"/>
  <c r="B30" i="23"/>
  <c r="T29" i="23"/>
  <c r="T28" i="23"/>
  <c r="B28" i="23"/>
  <c r="T27" i="23"/>
  <c r="B27" i="23"/>
  <c r="T26" i="23"/>
  <c r="T25" i="23"/>
  <c r="T24" i="23"/>
  <c r="T23" i="23"/>
  <c r="T22" i="23"/>
  <c r="T21" i="23"/>
  <c r="B21" i="23"/>
  <c r="T20" i="23"/>
  <c r="T19" i="23"/>
  <c r="T18" i="23"/>
  <c r="T17" i="23"/>
  <c r="T16" i="23"/>
  <c r="B16" i="23"/>
  <c r="T15" i="23"/>
  <c r="B15" i="23"/>
  <c r="T14" i="23"/>
  <c r="T13" i="23"/>
  <c r="T12" i="23"/>
  <c r="T11" i="23"/>
  <c r="T10" i="23"/>
  <c r="T9" i="23"/>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D238" i="2"/>
  <c r="N12" i="8" s="1"/>
  <c r="O12" i="8" s="1"/>
  <c r="D224" i="2"/>
  <c r="B11" i="2"/>
  <c r="K63" i="1"/>
  <c r="U13" i="2"/>
  <c r="B166" i="2"/>
  <c r="B167" i="2" s="1"/>
  <c r="N17" i="8" s="1"/>
  <c r="D126" i="2"/>
  <c r="B25" i="23" s="1"/>
  <c r="D122" i="2"/>
  <c r="B24" i="23" s="1"/>
  <c r="D116" i="2"/>
  <c r="D118" i="2" s="1"/>
  <c r="D77" i="2"/>
  <c r="D47" i="2"/>
  <c r="D46" i="2"/>
  <c r="B14" i="2"/>
  <c r="B13" i="2"/>
  <c r="D188" i="2" l="1"/>
  <c r="C59" i="16"/>
  <c r="I49" i="16"/>
  <c r="I70" i="16"/>
  <c r="J49" i="16"/>
  <c r="I69" i="16"/>
  <c r="C69" i="16"/>
  <c r="D69" i="16" s="1"/>
  <c r="J48" i="16"/>
  <c r="H70" i="16"/>
  <c r="I48" i="16"/>
  <c r="H69" i="16"/>
  <c r="J63" i="16"/>
  <c r="J70" i="16"/>
  <c r="H63" i="16"/>
  <c r="H49" i="16"/>
  <c r="H48" i="16"/>
  <c r="I63" i="16"/>
  <c r="I61" i="16"/>
  <c r="J69" i="16"/>
  <c r="AU9" i="23"/>
  <c r="K9" i="2"/>
  <c r="D386" i="2"/>
  <c r="D343" i="2"/>
  <c r="C355" i="2"/>
  <c r="C353" i="2"/>
  <c r="C354" i="2"/>
  <c r="C382" i="2"/>
  <c r="C381" i="2"/>
  <c r="Z9" i="2"/>
  <c r="D345" i="2"/>
  <c r="D339" i="2"/>
  <c r="I80" i="1"/>
  <c r="F80" i="1"/>
  <c r="E96" i="1"/>
  <c r="F96" i="1"/>
  <c r="D58" i="1"/>
  <c r="B18" i="2"/>
  <c r="D183" i="2"/>
  <c r="D207" i="2" s="1"/>
  <c r="F3" i="25" s="1"/>
  <c r="I88" i="21"/>
  <c r="B18" i="23"/>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D72" i="2"/>
  <c r="B19" i="23"/>
  <c r="I109" i="23"/>
  <c r="I108" i="23"/>
  <c r="I107" i="23"/>
  <c r="I106" i="23"/>
  <c r="I105" i="23"/>
  <c r="I104" i="23"/>
  <c r="I103" i="23"/>
  <c r="I102" i="23"/>
  <c r="I101" i="23"/>
  <c r="I100" i="23"/>
  <c r="I99" i="23"/>
  <c r="I98" i="23"/>
  <c r="I97" i="23"/>
  <c r="I96" i="23"/>
  <c r="I95" i="23"/>
  <c r="I92" i="23"/>
  <c r="I88" i="23"/>
  <c r="I84" i="23"/>
  <c r="I37" i="23"/>
  <c r="I36" i="23"/>
  <c r="I35" i="23"/>
  <c r="I27" i="23"/>
  <c r="I19" i="23"/>
  <c r="I18" i="23"/>
  <c r="I17" i="23"/>
  <c r="I16" i="23"/>
  <c r="I94" i="23"/>
  <c r="I86" i="23"/>
  <c r="I93" i="23"/>
  <c r="I89" i="23"/>
  <c r="I85" i="23"/>
  <c r="I81" i="23"/>
  <c r="I80" i="23"/>
  <c r="I79" i="23"/>
  <c r="I78" i="23"/>
  <c r="I77" i="23"/>
  <c r="I76" i="23"/>
  <c r="I75" i="23"/>
  <c r="I74" i="23"/>
  <c r="I73" i="23"/>
  <c r="I72" i="23"/>
  <c r="I71" i="23"/>
  <c r="I70" i="23"/>
  <c r="I69" i="23"/>
  <c r="I68" i="23"/>
  <c r="I67" i="23"/>
  <c r="I66" i="23"/>
  <c r="I65" i="23"/>
  <c r="I64" i="23"/>
  <c r="I63" i="23"/>
  <c r="I62" i="23"/>
  <c r="I61" i="23"/>
  <c r="I60" i="23"/>
  <c r="I34" i="23"/>
  <c r="I33" i="23"/>
  <c r="I26" i="23"/>
  <c r="I25" i="23"/>
  <c r="I24" i="23"/>
  <c r="I23" i="23"/>
  <c r="I15" i="23"/>
  <c r="I91" i="23"/>
  <c r="I87" i="23"/>
  <c r="I83" i="23"/>
  <c r="I49" i="23"/>
  <c r="I48" i="23"/>
  <c r="I47" i="23"/>
  <c r="I46" i="23"/>
  <c r="I45" i="23"/>
  <c r="I44" i="23"/>
  <c r="I43" i="23"/>
  <c r="I42" i="23"/>
  <c r="I41" i="23"/>
  <c r="I40" i="23"/>
  <c r="I39" i="23"/>
  <c r="I38" i="23"/>
  <c r="I29" i="23"/>
  <c r="I28" i="23"/>
  <c r="I20" i="23"/>
  <c r="I10" i="23"/>
  <c r="I9" i="23"/>
  <c r="I90" i="23"/>
  <c r="I82" i="23"/>
  <c r="I12" i="23"/>
  <c r="I11" i="23"/>
  <c r="I59" i="23"/>
  <c r="I57" i="23"/>
  <c r="I55" i="23"/>
  <c r="I53" i="23"/>
  <c r="I51" i="23"/>
  <c r="I32" i="23"/>
  <c r="I30" i="23"/>
  <c r="I22" i="23"/>
  <c r="I58" i="23"/>
  <c r="I56" i="23"/>
  <c r="I54" i="23"/>
  <c r="I52" i="23"/>
  <c r="I50" i="23"/>
  <c r="I31" i="23"/>
  <c r="I21" i="23"/>
  <c r="I14" i="23"/>
  <c r="I13" i="23"/>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B12" i="23"/>
  <c r="J12" i="23"/>
  <c r="J16" i="23"/>
  <c r="J20" i="23"/>
  <c r="J24" i="23"/>
  <c r="J28" i="23"/>
  <c r="J32" i="23"/>
  <c r="J36" i="23"/>
  <c r="J40" i="23"/>
  <c r="J44" i="23"/>
  <c r="J48" i="23"/>
  <c r="J14" i="23"/>
  <c r="J19" i="23"/>
  <c r="J25" i="23"/>
  <c r="J30" i="23"/>
  <c r="J35" i="23"/>
  <c r="J41" i="23"/>
  <c r="J46" i="23"/>
  <c r="J51" i="23"/>
  <c r="J55" i="23"/>
  <c r="J59" i="23"/>
  <c r="J63" i="23"/>
  <c r="J67" i="23"/>
  <c r="J71" i="23"/>
  <c r="J75" i="23"/>
  <c r="J79" i="23"/>
  <c r="J83" i="23"/>
  <c r="J87" i="23"/>
  <c r="J91" i="23"/>
  <c r="J95" i="23"/>
  <c r="J99" i="23"/>
  <c r="J103" i="23"/>
  <c r="J107" i="23"/>
  <c r="J18" i="23"/>
  <c r="J29" i="23"/>
  <c r="J39" i="23"/>
  <c r="J50" i="23"/>
  <c r="J58" i="23"/>
  <c r="J70" i="23"/>
  <c r="J74" i="23"/>
  <c r="J86" i="23"/>
  <c r="J94" i="23"/>
  <c r="J102" i="23"/>
  <c r="J15" i="23"/>
  <c r="J21" i="23"/>
  <c r="J26" i="23"/>
  <c r="J31" i="23"/>
  <c r="J37" i="23"/>
  <c r="J42" i="23"/>
  <c r="J47" i="23"/>
  <c r="J52" i="23"/>
  <c r="J56" i="23"/>
  <c r="J60" i="23"/>
  <c r="J64" i="23"/>
  <c r="J68" i="23"/>
  <c r="J72" i="23"/>
  <c r="J76" i="23"/>
  <c r="J80" i="23"/>
  <c r="J84" i="23"/>
  <c r="J88" i="23"/>
  <c r="J92" i="23"/>
  <c r="J96" i="23"/>
  <c r="J100" i="23"/>
  <c r="J104" i="23"/>
  <c r="J108" i="23"/>
  <c r="B14" i="23"/>
  <c r="J13" i="23"/>
  <c r="J34" i="23"/>
  <c r="J45" i="23"/>
  <c r="J62" i="23"/>
  <c r="J82" i="23"/>
  <c r="J98" i="23"/>
  <c r="J10" i="23"/>
  <c r="J11" i="23"/>
  <c r="J17" i="23"/>
  <c r="J22" i="23"/>
  <c r="J27" i="23"/>
  <c r="J33" i="23"/>
  <c r="J38" i="23"/>
  <c r="J43" i="23"/>
  <c r="J49" i="23"/>
  <c r="J53" i="23"/>
  <c r="J57" i="23"/>
  <c r="J61" i="23"/>
  <c r="J65" i="23"/>
  <c r="J69" i="23"/>
  <c r="J73" i="23"/>
  <c r="J77" i="23"/>
  <c r="J81" i="23"/>
  <c r="J85" i="23"/>
  <c r="J89" i="23"/>
  <c r="J93" i="23"/>
  <c r="J97" i="23"/>
  <c r="J101" i="23"/>
  <c r="J105" i="23"/>
  <c r="J109" i="23"/>
  <c r="J23" i="23"/>
  <c r="J54" i="23"/>
  <c r="J66" i="23"/>
  <c r="J78" i="23"/>
  <c r="J90" i="23"/>
  <c r="J106" i="23"/>
  <c r="L21" i="2"/>
  <c r="D221" i="2"/>
  <c r="D239" i="2"/>
  <c r="N13" i="8" s="1"/>
  <c r="O13" i="8" s="1"/>
  <c r="D240" i="2" s="1"/>
  <c r="J66" i="1" s="1"/>
  <c r="D61" i="1"/>
  <c r="D64" i="1"/>
  <c r="D206" i="2"/>
  <c r="C3" i="25" s="1"/>
  <c r="D63" i="1"/>
  <c r="D62" i="1"/>
  <c r="K66" i="1"/>
  <c r="L16" i="2"/>
  <c r="D33" i="1"/>
  <c r="D36" i="1"/>
  <c r="D34" i="1"/>
  <c r="D37" i="1"/>
  <c r="G3" i="8"/>
  <c r="D95" i="2"/>
  <c r="J20" i="1" s="1"/>
  <c r="B17" i="2"/>
  <c r="D214" i="2" s="1"/>
  <c r="C70" i="16" l="1"/>
  <c r="D70" i="16" s="1"/>
  <c r="AU13" i="23"/>
  <c r="AU29" i="23"/>
  <c r="AU106" i="23"/>
  <c r="AU78" i="23"/>
  <c r="AU93" i="23"/>
  <c r="AU61" i="23"/>
  <c r="AU22" i="23"/>
  <c r="AU34" i="23"/>
  <c r="AU88" i="23"/>
  <c r="AU56" i="23"/>
  <c r="AU15" i="23"/>
  <c r="AU39" i="23"/>
  <c r="AU87" i="23"/>
  <c r="AU55" i="23"/>
  <c r="AU14" i="23"/>
  <c r="AU20" i="23"/>
  <c r="AU66" i="23"/>
  <c r="AU83" i="23"/>
  <c r="AU54" i="23"/>
  <c r="AU53" i="23"/>
  <c r="AU80" i="23"/>
  <c r="AU47" i="23"/>
  <c r="AU94" i="23"/>
  <c r="AU18" i="23"/>
  <c r="AU79" i="23"/>
  <c r="AU46" i="23"/>
  <c r="AU44" i="23"/>
  <c r="AU12" i="23"/>
  <c r="AU89" i="23"/>
  <c r="AU102" i="23"/>
  <c r="AU85" i="23"/>
  <c r="AU11" i="23"/>
  <c r="AU23" i="23"/>
  <c r="AU81" i="23"/>
  <c r="AU49" i="23"/>
  <c r="AU10" i="23"/>
  <c r="AU108" i="23"/>
  <c r="AU76" i="23"/>
  <c r="AU42" i="23"/>
  <c r="AU86" i="23"/>
  <c r="AU107" i="23"/>
  <c r="AU75" i="23"/>
  <c r="AU41" i="23"/>
  <c r="AU40" i="23"/>
  <c r="AU84" i="23"/>
  <c r="AU48" i="23"/>
  <c r="AU109" i="23"/>
  <c r="AU77" i="23"/>
  <c r="AU43" i="23"/>
  <c r="AU98" i="23"/>
  <c r="AU104" i="23"/>
  <c r="AU72" i="23"/>
  <c r="AU37" i="23"/>
  <c r="AU74" i="23"/>
  <c r="AU103" i="23"/>
  <c r="AU71" i="23"/>
  <c r="AU35" i="23"/>
  <c r="AU36" i="23"/>
  <c r="AU57" i="23"/>
  <c r="AU51" i="23"/>
  <c r="AU105" i="23"/>
  <c r="AU73" i="23"/>
  <c r="AU38" i="23"/>
  <c r="AU82" i="23"/>
  <c r="AU100" i="23"/>
  <c r="AU68" i="23"/>
  <c r="AU31" i="23"/>
  <c r="AU70" i="23"/>
  <c r="AU99" i="23"/>
  <c r="AU67" i="23"/>
  <c r="AU30" i="23"/>
  <c r="AU32" i="23"/>
  <c r="AU52" i="23"/>
  <c r="AU101" i="23"/>
  <c r="AU33" i="23"/>
  <c r="AU62" i="23"/>
  <c r="AU96" i="23"/>
  <c r="AU64" i="23"/>
  <c r="AU26" i="23"/>
  <c r="AU58" i="23"/>
  <c r="AU95" i="23"/>
  <c r="AU63" i="23"/>
  <c r="AU25" i="23"/>
  <c r="AU28" i="23"/>
  <c r="AU17" i="23"/>
  <c r="AU16" i="23"/>
  <c r="AU69" i="23"/>
  <c r="AU90" i="23"/>
  <c r="AU97" i="23"/>
  <c r="AU65" i="23"/>
  <c r="AU27" i="23"/>
  <c r="AU45" i="23"/>
  <c r="AU92" i="23"/>
  <c r="AU60" i="23"/>
  <c r="AU21" i="23"/>
  <c r="AU50" i="23"/>
  <c r="AU91" i="23"/>
  <c r="AU59" i="23"/>
  <c r="AU19" i="23"/>
  <c r="AU24" i="23"/>
  <c r="J62" i="1"/>
  <c r="K3" i="25"/>
  <c r="D66" i="1"/>
  <c r="D65" i="1"/>
  <c r="I66" i="1"/>
  <c r="I65" i="1"/>
  <c r="D225" i="2"/>
  <c r="D364" i="2"/>
  <c r="C362" i="2"/>
  <c r="F55" i="1"/>
  <c r="F56" i="1"/>
  <c r="B73" i="1" l="1"/>
  <c r="D226" i="2"/>
  <c r="I3" i="8" s="1"/>
  <c r="N8" i="8"/>
  <c r="O8" i="8" s="1"/>
  <c r="N34" i="8" s="1"/>
  <c r="B60" i="21"/>
  <c r="B55" i="21"/>
  <c r="B35" i="21"/>
  <c r="B33" i="21"/>
  <c r="B30" i="21"/>
  <c r="B28" i="21"/>
  <c r="B27" i="21"/>
  <c r="B21" i="21"/>
  <c r="B15" i="21"/>
  <c r="B74" i="1" l="1"/>
  <c r="O34" i="8"/>
  <c r="C73" i="1" s="1"/>
  <c r="D311" i="2"/>
  <c r="AM4" i="23" s="1"/>
  <c r="D310" i="2"/>
  <c r="B58" i="23" s="1"/>
  <c r="D307" i="2"/>
  <c r="B56" i="23" s="1"/>
  <c r="D304" i="2"/>
  <c r="B53" i="23" s="1"/>
  <c r="D301" i="2"/>
  <c r="D300" i="2"/>
  <c r="D296" i="2"/>
  <c r="D295" i="2"/>
  <c r="D294" i="2"/>
  <c r="B51" i="23" s="1"/>
  <c r="D292" i="2"/>
  <c r="B49" i="23" s="1"/>
  <c r="D288" i="2"/>
  <c r="D286" i="2"/>
  <c r="D285" i="2"/>
  <c r="B53" i="21" s="1"/>
  <c r="D282" i="2"/>
  <c r="D281" i="2"/>
  <c r="D280" i="2"/>
  <c r="B52" i="21" s="1"/>
  <c r="D277" i="2"/>
  <c r="D276" i="2"/>
  <c r="D275" i="2"/>
  <c r="B51" i="21" s="1"/>
  <c r="D273" i="2"/>
  <c r="B49" i="21" s="1"/>
  <c r="D302" i="2" l="1"/>
  <c r="D283" i="2"/>
  <c r="B59" i="23"/>
  <c r="B54" i="21"/>
  <c r="B56" i="21"/>
  <c r="K128" i="2"/>
  <c r="B300" i="2"/>
  <c r="B43" i="23" s="1"/>
  <c r="B301" i="2"/>
  <c r="B295" i="2"/>
  <c r="B40" i="23" s="1"/>
  <c r="B296" i="2"/>
  <c r="B41" i="23" s="1"/>
  <c r="B350" i="2"/>
  <c r="A52" i="16"/>
  <c r="B44" i="23" l="1"/>
  <c r="B302" i="2"/>
  <c r="B337" i="2"/>
  <c r="D230" i="2"/>
  <c r="A337" i="2"/>
  <c r="D336" i="2"/>
  <c r="A339" i="2"/>
  <c r="B346" i="2"/>
  <c r="A345"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D353" i="2" l="1"/>
  <c r="E353" i="2"/>
  <c r="C63" i="16" s="1"/>
  <c r="D63" i="16" s="1"/>
  <c r="I3" i="17"/>
  <c r="B359" i="2"/>
  <c r="A359" i="2"/>
  <c r="B203" i="2"/>
  <c r="B218" i="2" s="1"/>
  <c r="B358" i="2" l="1"/>
  <c r="A358" i="2"/>
  <c r="B357" i="2"/>
  <c r="A357" i="2"/>
  <c r="AE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05" i="2"/>
  <c r="Q6" i="17"/>
  <c r="C6" i="17" l="1"/>
  <c r="C6" i="25"/>
  <c r="A341" i="2"/>
  <c r="B175" i="2"/>
  <c r="B176" i="2" s="1"/>
  <c r="H3" i="8" s="1"/>
  <c r="B122" i="2"/>
  <c r="B77" i="2"/>
  <c r="B8" i="2"/>
  <c r="D187" i="2" s="1"/>
  <c r="B9" i="2"/>
  <c r="H625" i="25" l="1"/>
  <c r="H623" i="25"/>
  <c r="G613" i="25"/>
  <c r="G612" i="25"/>
  <c r="G611" i="25"/>
  <c r="G610" i="25"/>
  <c r="G609" i="25"/>
  <c r="G608" i="25"/>
  <c r="G607" i="25"/>
  <c r="G606" i="25"/>
  <c r="G605" i="25"/>
  <c r="G604" i="25"/>
  <c r="G603" i="25"/>
  <c r="G602" i="25"/>
  <c r="G601" i="25"/>
  <c r="G600" i="25"/>
  <c r="G599" i="25"/>
  <c r="G598" i="25"/>
  <c r="G597" i="25"/>
  <c r="G596" i="25"/>
  <c r="G595" i="25"/>
  <c r="G594" i="25"/>
  <c r="G593" i="25"/>
  <c r="G592" i="25"/>
  <c r="G591" i="25"/>
  <c r="G590" i="25"/>
  <c r="G589" i="25"/>
  <c r="G588" i="25"/>
  <c r="G587" i="25"/>
  <c r="G586" i="25"/>
  <c r="G585" i="25"/>
  <c r="G584" i="25"/>
  <c r="G583" i="25"/>
  <c r="G582" i="25"/>
  <c r="G581" i="25"/>
  <c r="G580" i="25"/>
  <c r="G579" i="25"/>
  <c r="G578" i="25"/>
  <c r="G577" i="25"/>
  <c r="G576" i="25"/>
  <c r="G575" i="25"/>
  <c r="G574" i="25"/>
  <c r="G573" i="25"/>
  <c r="G572" i="25"/>
  <c r="G571" i="25"/>
  <c r="G570" i="25"/>
  <c r="G569" i="25"/>
  <c r="G568" i="25"/>
  <c r="G567" i="25"/>
  <c r="G566" i="25"/>
  <c r="G565" i="25"/>
  <c r="G564" i="25"/>
  <c r="G563" i="25"/>
  <c r="G562" i="25"/>
  <c r="G561" i="25"/>
  <c r="G560" i="25"/>
  <c r="G559" i="25"/>
  <c r="G558" i="25"/>
  <c r="G557" i="25"/>
  <c r="G556" i="25"/>
  <c r="G555" i="25"/>
  <c r="G554" i="25"/>
  <c r="G553" i="25"/>
  <c r="G552" i="25"/>
  <c r="G551" i="25"/>
  <c r="G550" i="25"/>
  <c r="G549" i="25"/>
  <c r="G548" i="25"/>
  <c r="G547" i="25"/>
  <c r="G546" i="25"/>
  <c r="G545" i="25"/>
  <c r="G544" i="25"/>
  <c r="G543" i="25"/>
  <c r="G625" i="25"/>
  <c r="G623" i="25"/>
  <c r="G628" i="25"/>
  <c r="G626" i="25"/>
  <c r="G624" i="25"/>
  <c r="H613" i="25"/>
  <c r="H612" i="25"/>
  <c r="H611" i="25"/>
  <c r="H610" i="25"/>
  <c r="H609" i="25"/>
  <c r="H608" i="25"/>
  <c r="H607" i="25"/>
  <c r="H606" i="25"/>
  <c r="H605" i="25"/>
  <c r="H604" i="25"/>
  <c r="H603" i="25"/>
  <c r="H602" i="25"/>
  <c r="H601" i="25"/>
  <c r="H600" i="25"/>
  <c r="H599" i="25"/>
  <c r="H598" i="25"/>
  <c r="H597" i="25"/>
  <c r="H596" i="25"/>
  <c r="H595" i="25"/>
  <c r="H594" i="25"/>
  <c r="H593" i="25"/>
  <c r="H592" i="25"/>
  <c r="H591" i="25"/>
  <c r="H590" i="25"/>
  <c r="H589" i="25"/>
  <c r="H588" i="25"/>
  <c r="H587" i="25"/>
  <c r="H586" i="25"/>
  <c r="H585" i="25"/>
  <c r="H584" i="25"/>
  <c r="H583" i="25"/>
  <c r="H582" i="25"/>
  <c r="H581" i="25"/>
  <c r="H580" i="25"/>
  <c r="H579" i="25"/>
  <c r="H578" i="25"/>
  <c r="H577" i="25"/>
  <c r="H576" i="25"/>
  <c r="H575" i="25"/>
  <c r="H574" i="25"/>
  <c r="H573" i="25"/>
  <c r="H572" i="25"/>
  <c r="H571" i="25"/>
  <c r="H570" i="25"/>
  <c r="H569" i="25"/>
  <c r="H568" i="25"/>
  <c r="H567" i="25"/>
  <c r="H566" i="25"/>
  <c r="H565" i="25"/>
  <c r="H564" i="25"/>
  <c r="H563" i="25"/>
  <c r="H562" i="25"/>
  <c r="H561" i="25"/>
  <c r="H560" i="25"/>
  <c r="H559" i="25"/>
  <c r="H558" i="25"/>
  <c r="H557" i="25"/>
  <c r="H556" i="25"/>
  <c r="H555" i="25"/>
  <c r="H554" i="25"/>
  <c r="H553" i="25"/>
  <c r="H552" i="25"/>
  <c r="H551" i="25"/>
  <c r="H550" i="25"/>
  <c r="H549" i="25"/>
  <c r="H548" i="25"/>
  <c r="H547" i="25"/>
  <c r="H546" i="25"/>
  <c r="H545" i="25"/>
  <c r="H544" i="25"/>
  <c r="H543" i="25"/>
  <c r="H542" i="25"/>
  <c r="H541" i="25"/>
  <c r="H540" i="25"/>
  <c r="H539" i="25"/>
  <c r="H538" i="25"/>
  <c r="H537" i="25"/>
  <c r="G542" i="25"/>
  <c r="G538" i="25"/>
  <c r="H628" i="25"/>
  <c r="G539" i="25"/>
  <c r="H624" i="25"/>
  <c r="G541" i="25"/>
  <c r="G537" i="25"/>
  <c r="G536" i="25"/>
  <c r="G535" i="25"/>
  <c r="G534" i="25"/>
  <c r="G533" i="25"/>
  <c r="G532" i="25"/>
  <c r="G531" i="25"/>
  <c r="G530" i="25"/>
  <c r="G529" i="25"/>
  <c r="G528" i="25"/>
  <c r="G527" i="25"/>
  <c r="G526" i="25"/>
  <c r="G525" i="25"/>
  <c r="G524" i="25"/>
  <c r="G523" i="25"/>
  <c r="G522" i="25"/>
  <c r="G521" i="25"/>
  <c r="G520" i="25"/>
  <c r="G519" i="25"/>
  <c r="G518" i="25"/>
  <c r="G517" i="25"/>
  <c r="G516" i="25"/>
  <c r="G515" i="25"/>
  <c r="G514" i="25"/>
  <c r="G513" i="25"/>
  <c r="G512" i="25"/>
  <c r="G511" i="25"/>
  <c r="G510" i="25"/>
  <c r="G509" i="25"/>
  <c r="G508" i="25"/>
  <c r="G507" i="25"/>
  <c r="G506" i="25"/>
  <c r="G505" i="25"/>
  <c r="G504" i="25"/>
  <c r="G503" i="25"/>
  <c r="G502" i="25"/>
  <c r="G501" i="25"/>
  <c r="G500" i="25"/>
  <c r="G499" i="25"/>
  <c r="G498" i="25"/>
  <c r="G497" i="25"/>
  <c r="G496" i="25"/>
  <c r="G495" i="25"/>
  <c r="G494" i="25"/>
  <c r="G493" i="25"/>
  <c r="G492" i="25"/>
  <c r="G491" i="25"/>
  <c r="G490" i="25"/>
  <c r="G489" i="25"/>
  <c r="G488" i="25"/>
  <c r="G487" i="25"/>
  <c r="G486" i="25"/>
  <c r="G485" i="25"/>
  <c r="G484" i="25"/>
  <c r="G483" i="25"/>
  <c r="G482" i="25"/>
  <c r="G481" i="25"/>
  <c r="G480" i="25"/>
  <c r="G479" i="25"/>
  <c r="G478" i="25"/>
  <c r="G477" i="25"/>
  <c r="G476" i="25"/>
  <c r="G475" i="25"/>
  <c r="G474" i="25"/>
  <c r="G473" i="25"/>
  <c r="G472" i="25"/>
  <c r="G471" i="25"/>
  <c r="G470" i="25"/>
  <c r="G469" i="25"/>
  <c r="G468" i="25"/>
  <c r="G467" i="25"/>
  <c r="G466" i="25"/>
  <c r="G465" i="25"/>
  <c r="G464" i="25"/>
  <c r="G463" i="25"/>
  <c r="G462" i="25"/>
  <c r="G461" i="25"/>
  <c r="G460" i="25"/>
  <c r="G459" i="25"/>
  <c r="G458" i="25"/>
  <c r="G457" i="25"/>
  <c r="G456" i="25"/>
  <c r="G455" i="25"/>
  <c r="G454" i="25"/>
  <c r="G453" i="25"/>
  <c r="G452" i="25"/>
  <c r="G451" i="25"/>
  <c r="G450" i="25"/>
  <c r="G449" i="25"/>
  <c r="G448" i="25"/>
  <c r="G447" i="25"/>
  <c r="G446" i="25"/>
  <c r="G445" i="25"/>
  <c r="G444" i="25"/>
  <c r="G443" i="25"/>
  <c r="G442" i="25"/>
  <c r="G441" i="25"/>
  <c r="G440" i="25"/>
  <c r="G439" i="25"/>
  <c r="G438" i="25"/>
  <c r="G437" i="25"/>
  <c r="G436" i="25"/>
  <c r="G435" i="25"/>
  <c r="G434" i="25"/>
  <c r="G433" i="25"/>
  <c r="G432" i="25"/>
  <c r="G431" i="25"/>
  <c r="G430" i="25"/>
  <c r="G429" i="25"/>
  <c r="G428" i="25"/>
  <c r="G427" i="25"/>
  <c r="G426" i="25"/>
  <c r="G425" i="25"/>
  <c r="G424" i="25"/>
  <c r="G423" i="25"/>
  <c r="G422" i="25"/>
  <c r="G421" i="25"/>
  <c r="G420" i="25"/>
  <c r="G419" i="25"/>
  <c r="G418" i="25"/>
  <c r="G417" i="25"/>
  <c r="G416" i="25"/>
  <c r="G415" i="25"/>
  <c r="G414" i="25"/>
  <c r="G413" i="25"/>
  <c r="G412" i="25"/>
  <c r="G411" i="25"/>
  <c r="G410" i="25"/>
  <c r="G409" i="25"/>
  <c r="G408" i="25"/>
  <c r="G407" i="25"/>
  <c r="G406" i="25"/>
  <c r="G405" i="25"/>
  <c r="G404" i="25"/>
  <c r="G403" i="25"/>
  <c r="G402" i="25"/>
  <c r="G401" i="25"/>
  <c r="G400" i="25"/>
  <c r="G399" i="25"/>
  <c r="G398" i="25"/>
  <c r="G397" i="25"/>
  <c r="G396" i="25"/>
  <c r="G395" i="25"/>
  <c r="G394" i="25"/>
  <c r="G393" i="25"/>
  <c r="G392" i="25"/>
  <c r="G391" i="25"/>
  <c r="G390" i="25"/>
  <c r="G389" i="25"/>
  <c r="G388" i="25"/>
  <c r="G387" i="25"/>
  <c r="G386" i="25"/>
  <c r="G385" i="25"/>
  <c r="G384" i="25"/>
  <c r="G383" i="25"/>
  <c r="G382" i="25"/>
  <c r="G381" i="25"/>
  <c r="G380" i="25"/>
  <c r="G379" i="25"/>
  <c r="G378" i="25"/>
  <c r="G377" i="25"/>
  <c r="G376" i="25"/>
  <c r="G375" i="25"/>
  <c r="G374" i="25"/>
  <c r="G373" i="25"/>
  <c r="G372" i="25"/>
  <c r="G371" i="25"/>
  <c r="G370" i="25"/>
  <c r="H536" i="25"/>
  <c r="H532" i="25"/>
  <c r="H528" i="25"/>
  <c r="H524" i="25"/>
  <c r="H520" i="25"/>
  <c r="H516" i="25"/>
  <c r="H512" i="25"/>
  <c r="H508" i="25"/>
  <c r="H504" i="25"/>
  <c r="H500" i="25"/>
  <c r="H496" i="25"/>
  <c r="H492" i="25"/>
  <c r="H488" i="25"/>
  <c r="H484" i="25"/>
  <c r="H480" i="25"/>
  <c r="H476" i="25"/>
  <c r="H472" i="25"/>
  <c r="H468" i="25"/>
  <c r="H464" i="25"/>
  <c r="H460" i="25"/>
  <c r="H456" i="25"/>
  <c r="H452" i="25"/>
  <c r="H448" i="25"/>
  <c r="H444" i="25"/>
  <c r="H440" i="25"/>
  <c r="H436" i="25"/>
  <c r="H432" i="25"/>
  <c r="H428" i="25"/>
  <c r="H424" i="25"/>
  <c r="H420" i="25"/>
  <c r="H416" i="25"/>
  <c r="H412" i="25"/>
  <c r="H408" i="25"/>
  <c r="H404" i="25"/>
  <c r="H400" i="25"/>
  <c r="H396" i="25"/>
  <c r="H533" i="25"/>
  <c r="H529" i="25"/>
  <c r="H525" i="25"/>
  <c r="H521" i="25"/>
  <c r="H517" i="25"/>
  <c r="H513" i="25"/>
  <c r="H509" i="25"/>
  <c r="H505" i="25"/>
  <c r="H501" i="25"/>
  <c r="H497" i="25"/>
  <c r="H493" i="25"/>
  <c r="H489" i="25"/>
  <c r="H485" i="25"/>
  <c r="H481" i="25"/>
  <c r="H477" i="25"/>
  <c r="H473" i="25"/>
  <c r="H469" i="25"/>
  <c r="H465" i="25"/>
  <c r="H461" i="25"/>
  <c r="H457" i="25"/>
  <c r="H453" i="25"/>
  <c r="H449" i="25"/>
  <c r="H445" i="25"/>
  <c r="H441" i="25"/>
  <c r="H437" i="25"/>
  <c r="H433" i="25"/>
  <c r="H429" i="25"/>
  <c r="H425" i="25"/>
  <c r="H421" i="25"/>
  <c r="H417" i="25"/>
  <c r="H413" i="25"/>
  <c r="H409" i="25"/>
  <c r="H405" i="25"/>
  <c r="H401" i="25"/>
  <c r="H397" i="25"/>
  <c r="H393" i="25"/>
  <c r="H389" i="25"/>
  <c r="H385" i="25"/>
  <c r="H381" i="25"/>
  <c r="H377" i="25"/>
  <c r="H373" i="25"/>
  <c r="H369" i="25"/>
  <c r="H368" i="25"/>
  <c r="H367" i="25"/>
  <c r="H366" i="25"/>
  <c r="H365" i="25"/>
  <c r="H364" i="25"/>
  <c r="H363" i="25"/>
  <c r="H362" i="25"/>
  <c r="H361" i="25"/>
  <c r="H360" i="25"/>
  <c r="H359" i="25"/>
  <c r="H358" i="25"/>
  <c r="H357" i="25"/>
  <c r="H356" i="25"/>
  <c r="H355" i="25"/>
  <c r="H354" i="25"/>
  <c r="H353" i="25"/>
  <c r="H352" i="25"/>
  <c r="H351" i="25"/>
  <c r="H350" i="25"/>
  <c r="H349" i="25"/>
  <c r="H348" i="25"/>
  <c r="H347" i="25"/>
  <c r="H346" i="25"/>
  <c r="H345" i="25"/>
  <c r="H344" i="25"/>
  <c r="H343" i="25"/>
  <c r="H342" i="25"/>
  <c r="H341" i="25"/>
  <c r="H340" i="25"/>
  <c r="H339" i="25"/>
  <c r="H338" i="25"/>
  <c r="H337" i="25"/>
  <c r="H336" i="25"/>
  <c r="H335" i="25"/>
  <c r="H334" i="25"/>
  <c r="H333" i="25"/>
  <c r="H332" i="25"/>
  <c r="H331" i="25"/>
  <c r="H330" i="25"/>
  <c r="H329" i="25"/>
  <c r="H328" i="25"/>
  <c r="H327" i="25"/>
  <c r="H326" i="25"/>
  <c r="H626" i="25"/>
  <c r="G540" i="25"/>
  <c r="H535" i="25"/>
  <c r="H531" i="25"/>
  <c r="H527" i="25"/>
  <c r="H523" i="25"/>
  <c r="H519" i="25"/>
  <c r="H515" i="25"/>
  <c r="H511" i="25"/>
  <c r="H507" i="25"/>
  <c r="H503" i="25"/>
  <c r="H499" i="25"/>
  <c r="H495" i="25"/>
  <c r="H491" i="25"/>
  <c r="H487" i="25"/>
  <c r="H483" i="25"/>
  <c r="H479" i="25"/>
  <c r="H475" i="25"/>
  <c r="H471" i="25"/>
  <c r="H467" i="25"/>
  <c r="H463" i="25"/>
  <c r="H459" i="25"/>
  <c r="H455" i="25"/>
  <c r="H451" i="25"/>
  <c r="H447" i="25"/>
  <c r="H443" i="25"/>
  <c r="H439" i="25"/>
  <c r="H435" i="25"/>
  <c r="H431" i="25"/>
  <c r="H427" i="25"/>
  <c r="H423" i="25"/>
  <c r="H419" i="25"/>
  <c r="H415" i="25"/>
  <c r="H411" i="25"/>
  <c r="H407" i="25"/>
  <c r="H403" i="25"/>
  <c r="H399" i="25"/>
  <c r="H395" i="25"/>
  <c r="H391" i="25"/>
  <c r="H387" i="25"/>
  <c r="H383" i="25"/>
  <c r="H379" i="25"/>
  <c r="H375" i="25"/>
  <c r="H371" i="25"/>
  <c r="H522" i="25"/>
  <c r="H506" i="25"/>
  <c r="H490" i="25"/>
  <c r="H474" i="25"/>
  <c r="H458" i="25"/>
  <c r="H442" i="25"/>
  <c r="H426" i="25"/>
  <c r="H410" i="25"/>
  <c r="H394" i="25"/>
  <c r="H386" i="25"/>
  <c r="H378" i="25"/>
  <c r="H370" i="25"/>
  <c r="G366" i="25"/>
  <c r="G362" i="25"/>
  <c r="G358" i="25"/>
  <c r="G354" i="25"/>
  <c r="G350" i="25"/>
  <c r="G346" i="25"/>
  <c r="G342" i="25"/>
  <c r="G338" i="25"/>
  <c r="G334" i="25"/>
  <c r="G330" i="25"/>
  <c r="G326" i="25"/>
  <c r="G325" i="25"/>
  <c r="G324" i="25"/>
  <c r="G323" i="25"/>
  <c r="G322" i="25"/>
  <c r="G321" i="25"/>
  <c r="G320" i="25"/>
  <c r="G319" i="25"/>
  <c r="G318" i="25"/>
  <c r="G317" i="25"/>
  <c r="G316" i="25"/>
  <c r="G315" i="25"/>
  <c r="G314" i="25"/>
  <c r="G313" i="25"/>
  <c r="G312" i="25"/>
  <c r="G311" i="25"/>
  <c r="G310" i="25"/>
  <c r="G309" i="25"/>
  <c r="G308" i="25"/>
  <c r="G307" i="25"/>
  <c r="G306" i="25"/>
  <c r="G305" i="25"/>
  <c r="G304" i="25"/>
  <c r="G303" i="25"/>
  <c r="G302" i="25"/>
  <c r="G301" i="25"/>
  <c r="G300" i="25"/>
  <c r="G299" i="25"/>
  <c r="G298" i="25"/>
  <c r="G297" i="25"/>
  <c r="G296" i="25"/>
  <c r="G295" i="25"/>
  <c r="G294" i="25"/>
  <c r="G293" i="25"/>
  <c r="G292" i="25"/>
  <c r="G291" i="25"/>
  <c r="G290" i="25"/>
  <c r="G289" i="25"/>
  <c r="G288" i="25"/>
  <c r="G287" i="25"/>
  <c r="G286" i="25"/>
  <c r="G285" i="25"/>
  <c r="G284" i="25"/>
  <c r="G283" i="25"/>
  <c r="G282" i="25"/>
  <c r="G281" i="25"/>
  <c r="G280" i="25"/>
  <c r="G279" i="25"/>
  <c r="G278" i="25"/>
  <c r="G277" i="25"/>
  <c r="G276" i="25"/>
  <c r="G275" i="25"/>
  <c r="G274" i="25"/>
  <c r="G273" i="25"/>
  <c r="G272" i="25"/>
  <c r="G271" i="25"/>
  <c r="G270" i="25"/>
  <c r="G269" i="25"/>
  <c r="G268" i="25"/>
  <c r="G267" i="25"/>
  <c r="G266" i="25"/>
  <c r="G265" i="25"/>
  <c r="G264" i="25"/>
  <c r="H534" i="25"/>
  <c r="H518" i="25"/>
  <c r="H502" i="25"/>
  <c r="H486" i="25"/>
  <c r="H470" i="25"/>
  <c r="H454" i="25"/>
  <c r="H438" i="25"/>
  <c r="H422" i="25"/>
  <c r="H406" i="25"/>
  <c r="H392" i="25"/>
  <c r="H384" i="25"/>
  <c r="H376" i="25"/>
  <c r="G367" i="25"/>
  <c r="G363" i="25"/>
  <c r="G359" i="25"/>
  <c r="G355" i="25"/>
  <c r="G351" i="25"/>
  <c r="G347" i="25"/>
  <c r="G343" i="25"/>
  <c r="G339" i="25"/>
  <c r="G335" i="25"/>
  <c r="G331" i="25"/>
  <c r="G327" i="25"/>
  <c r="H526" i="25"/>
  <c r="H510" i="25"/>
  <c r="H494" i="25"/>
  <c r="H478" i="25"/>
  <c r="H462" i="25"/>
  <c r="H446" i="25"/>
  <c r="H430" i="25"/>
  <c r="H414" i="25"/>
  <c r="H398" i="25"/>
  <c r="H388" i="25"/>
  <c r="H380" i="25"/>
  <c r="H372" i="25"/>
  <c r="G369" i="25"/>
  <c r="G365" i="25"/>
  <c r="G361" i="25"/>
  <c r="G357" i="25"/>
  <c r="G353" i="25"/>
  <c r="G349" i="25"/>
  <c r="G345" i="25"/>
  <c r="G341" i="25"/>
  <c r="G337" i="25"/>
  <c r="G333" i="25"/>
  <c r="G329" i="25"/>
  <c r="H325" i="25"/>
  <c r="H324" i="25"/>
  <c r="H323" i="25"/>
  <c r="H322" i="25"/>
  <c r="H321" i="25"/>
  <c r="H320" i="25"/>
  <c r="H319" i="25"/>
  <c r="H318" i="25"/>
  <c r="H317" i="25"/>
  <c r="H316" i="25"/>
  <c r="H315" i="25"/>
  <c r="H314" i="25"/>
  <c r="H313" i="25"/>
  <c r="H312" i="25"/>
  <c r="H311" i="25"/>
  <c r="H310" i="25"/>
  <c r="H309" i="25"/>
  <c r="H308" i="25"/>
  <c r="H307" i="25"/>
  <c r="H306" i="25"/>
  <c r="H305" i="25"/>
  <c r="H304" i="25"/>
  <c r="H303" i="25"/>
  <c r="H302" i="25"/>
  <c r="H301" i="25"/>
  <c r="H300" i="25"/>
  <c r="H299" i="25"/>
  <c r="H298" i="25"/>
  <c r="H297" i="25"/>
  <c r="H296" i="25"/>
  <c r="H295" i="25"/>
  <c r="H294" i="25"/>
  <c r="H293" i="25"/>
  <c r="H292" i="25"/>
  <c r="H291" i="25"/>
  <c r="H290" i="25"/>
  <c r="H289" i="25"/>
  <c r="H288" i="25"/>
  <c r="H287" i="25"/>
  <c r="H286" i="25"/>
  <c r="H285" i="25"/>
  <c r="H284" i="25"/>
  <c r="H283" i="25"/>
  <c r="H282" i="25"/>
  <c r="H281" i="25"/>
  <c r="H280" i="25"/>
  <c r="H279" i="25"/>
  <c r="H278" i="25"/>
  <c r="H277" i="25"/>
  <c r="H276" i="25"/>
  <c r="H275" i="25"/>
  <c r="H274" i="25"/>
  <c r="H273" i="25"/>
  <c r="H272" i="25"/>
  <c r="H271" i="25"/>
  <c r="H270" i="25"/>
  <c r="H269" i="25"/>
  <c r="H268" i="25"/>
  <c r="H267" i="25"/>
  <c r="H266" i="25"/>
  <c r="H265" i="25"/>
  <c r="H264" i="25"/>
  <c r="H263" i="25"/>
  <c r="H262" i="25"/>
  <c r="H261" i="25"/>
  <c r="H260" i="25"/>
  <c r="H259" i="25"/>
  <c r="H258" i="25"/>
  <c r="H257" i="25"/>
  <c r="H256" i="25"/>
  <c r="H255" i="25"/>
  <c r="H254" i="25"/>
  <c r="H253" i="25"/>
  <c r="H252" i="25"/>
  <c r="H251" i="25"/>
  <c r="H250" i="25"/>
  <c r="H249" i="25"/>
  <c r="H248" i="25"/>
  <c r="H247" i="25"/>
  <c r="H246" i="25"/>
  <c r="H245" i="25"/>
  <c r="H244" i="25"/>
  <c r="H243" i="25"/>
  <c r="H242" i="25"/>
  <c r="H241" i="25"/>
  <c r="H240" i="25"/>
  <c r="H239" i="25"/>
  <c r="H238" i="25"/>
  <c r="H237" i="25"/>
  <c r="H236" i="25"/>
  <c r="H235" i="25"/>
  <c r="H234" i="25"/>
  <c r="H482" i="25"/>
  <c r="H418" i="25"/>
  <c r="H374" i="25"/>
  <c r="G356" i="25"/>
  <c r="G340" i="25"/>
  <c r="G261" i="25"/>
  <c r="G257" i="25"/>
  <c r="G253" i="25"/>
  <c r="G249" i="25"/>
  <c r="G245" i="25"/>
  <c r="G241" i="25"/>
  <c r="G237" i="25"/>
  <c r="H233" i="25"/>
  <c r="H232" i="25"/>
  <c r="H231" i="25"/>
  <c r="H230" i="25"/>
  <c r="H229" i="25"/>
  <c r="H228" i="25"/>
  <c r="H227" i="25"/>
  <c r="H226" i="25"/>
  <c r="H225" i="25"/>
  <c r="H224" i="25"/>
  <c r="H223" i="25"/>
  <c r="H222" i="25"/>
  <c r="H221" i="25"/>
  <c r="H220" i="25"/>
  <c r="H219" i="25"/>
  <c r="H218" i="25"/>
  <c r="H217" i="25"/>
  <c r="H216" i="25"/>
  <c r="H215" i="25"/>
  <c r="H214" i="25"/>
  <c r="H213" i="25"/>
  <c r="H212" i="25"/>
  <c r="H211" i="25"/>
  <c r="H210" i="25"/>
  <c r="H209" i="25"/>
  <c r="H208" i="25"/>
  <c r="H207" i="25"/>
  <c r="H206" i="25"/>
  <c r="H205" i="25"/>
  <c r="H204" i="25"/>
  <c r="H203" i="25"/>
  <c r="H202" i="25"/>
  <c r="H201" i="25"/>
  <c r="H200" i="25"/>
  <c r="H199" i="25"/>
  <c r="H198" i="25"/>
  <c r="H197" i="25"/>
  <c r="H196" i="25"/>
  <c r="H195" i="25"/>
  <c r="H194" i="25"/>
  <c r="H193" i="25"/>
  <c r="H192" i="25"/>
  <c r="H191" i="25"/>
  <c r="H190" i="25"/>
  <c r="H189" i="25"/>
  <c r="H188" i="25"/>
  <c r="H187" i="25"/>
  <c r="H186" i="25"/>
  <c r="H185" i="25"/>
  <c r="H184" i="25"/>
  <c r="H183" i="25"/>
  <c r="H182" i="25"/>
  <c r="H181" i="25"/>
  <c r="H180" i="25"/>
  <c r="H179" i="25"/>
  <c r="H178" i="25"/>
  <c r="H177" i="25"/>
  <c r="H176" i="25"/>
  <c r="H175" i="25"/>
  <c r="H173" i="25"/>
  <c r="H172" i="25"/>
  <c r="H171" i="25"/>
  <c r="H170" i="25"/>
  <c r="H169" i="25"/>
  <c r="H168" i="25"/>
  <c r="H167" i="25"/>
  <c r="H166" i="25"/>
  <c r="H165" i="25"/>
  <c r="H164" i="25"/>
  <c r="H163" i="25"/>
  <c r="H162" i="25"/>
  <c r="H161" i="25"/>
  <c r="H159" i="25"/>
  <c r="H158" i="25"/>
  <c r="H156" i="25"/>
  <c r="H154" i="25"/>
  <c r="H152" i="25"/>
  <c r="H150" i="25"/>
  <c r="H149" i="25"/>
  <c r="H148" i="25"/>
  <c r="H146" i="25"/>
  <c r="H145" i="25"/>
  <c r="H143" i="25"/>
  <c r="H141" i="25"/>
  <c r="H139" i="25"/>
  <c r="H137" i="25"/>
  <c r="H135" i="25"/>
  <c r="H133" i="25"/>
  <c r="H131" i="25"/>
  <c r="H129" i="25"/>
  <c r="H128" i="25"/>
  <c r="H126" i="25"/>
  <c r="H124" i="25"/>
  <c r="H122" i="25"/>
  <c r="H120" i="25"/>
  <c r="H118" i="25"/>
  <c r="H530" i="25"/>
  <c r="H466" i="25"/>
  <c r="H402" i="25"/>
  <c r="G368" i="25"/>
  <c r="G352" i="25"/>
  <c r="G336" i="25"/>
  <c r="G262" i="25"/>
  <c r="G258" i="25"/>
  <c r="G254" i="25"/>
  <c r="G250" i="25"/>
  <c r="G246" i="25"/>
  <c r="G242" i="25"/>
  <c r="G238"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H498" i="25"/>
  <c r="H434" i="25"/>
  <c r="H382" i="25"/>
  <c r="G360" i="25"/>
  <c r="G344" i="25"/>
  <c r="G328" i="25"/>
  <c r="G260" i="25"/>
  <c r="G256" i="25"/>
  <c r="G252" i="25"/>
  <c r="G248" i="25"/>
  <c r="G244" i="25"/>
  <c r="G240" i="25"/>
  <c r="G236" i="25"/>
  <c r="H174" i="25"/>
  <c r="H160" i="25"/>
  <c r="H157" i="25"/>
  <c r="H155" i="25"/>
  <c r="H153" i="25"/>
  <c r="H151" i="25"/>
  <c r="H147" i="25"/>
  <c r="H144" i="25"/>
  <c r="H142" i="25"/>
  <c r="H140" i="25"/>
  <c r="H138" i="25"/>
  <c r="H136" i="25"/>
  <c r="H134" i="25"/>
  <c r="H132" i="25"/>
  <c r="H130" i="25"/>
  <c r="H127" i="25"/>
  <c r="H125" i="25"/>
  <c r="H123" i="25"/>
  <c r="H121" i="25"/>
  <c r="H119" i="25"/>
  <c r="H117" i="25"/>
  <c r="G364" i="25"/>
  <c r="G251" i="25"/>
  <c r="G235" i="25"/>
  <c r="H113" i="25"/>
  <c r="H109" i="25"/>
  <c r="H105" i="25"/>
  <c r="H101" i="25"/>
  <c r="H97" i="25"/>
  <c r="H93" i="25"/>
  <c r="H89" i="25"/>
  <c r="H85" i="25"/>
  <c r="H81" i="25"/>
  <c r="H77" i="25"/>
  <c r="H75" i="25"/>
  <c r="H73" i="25"/>
  <c r="H70" i="25"/>
  <c r="H67" i="25"/>
  <c r="H64" i="25"/>
  <c r="H60" i="25"/>
  <c r="H57" i="25"/>
  <c r="H54" i="25"/>
  <c r="H51" i="25"/>
  <c r="H48" i="25"/>
  <c r="H45" i="25"/>
  <c r="H42" i="25"/>
  <c r="H39" i="25"/>
  <c r="H35" i="25"/>
  <c r="H32" i="25"/>
  <c r="H29" i="25"/>
  <c r="H25" i="25"/>
  <c r="H22" i="25"/>
  <c r="H19" i="25"/>
  <c r="H16" i="25"/>
  <c r="H14" i="25"/>
  <c r="H13" i="25"/>
  <c r="G44" i="25"/>
  <c r="G41" i="25"/>
  <c r="G37" i="25"/>
  <c r="G33" i="25"/>
  <c r="G29" i="25"/>
  <c r="G26" i="25"/>
  <c r="G22" i="25"/>
  <c r="G18" i="25"/>
  <c r="G14" i="25"/>
  <c r="H107" i="25"/>
  <c r="H95" i="25"/>
  <c r="H514" i="25"/>
  <c r="G348" i="25"/>
  <c r="G263" i="25"/>
  <c r="G247" i="25"/>
  <c r="H114" i="25"/>
  <c r="H110" i="25"/>
  <c r="H106" i="25"/>
  <c r="H102" i="25"/>
  <c r="H98" i="25"/>
  <c r="H94" i="25"/>
  <c r="H90" i="25"/>
  <c r="H86" i="25"/>
  <c r="H82" i="25"/>
  <c r="H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3" i="25"/>
  <c r="G40" i="25"/>
  <c r="G36" i="25"/>
  <c r="G32" i="25"/>
  <c r="G28" i="25"/>
  <c r="G24" i="25"/>
  <c r="G21" i="25"/>
  <c r="G17" i="25"/>
  <c r="G13" i="25"/>
  <c r="G332" i="25"/>
  <c r="G259" i="25"/>
  <c r="H115" i="25"/>
  <c r="H103" i="25"/>
  <c r="H91" i="25"/>
  <c r="H79" i="25"/>
  <c r="H390" i="25"/>
  <c r="G255" i="25"/>
  <c r="G239" i="25"/>
  <c r="H116" i="25"/>
  <c r="H112" i="25"/>
  <c r="H108" i="25"/>
  <c r="H104" i="25"/>
  <c r="H100" i="25"/>
  <c r="H96" i="25"/>
  <c r="H92" i="25"/>
  <c r="H88" i="25"/>
  <c r="H84" i="25"/>
  <c r="H80" i="25"/>
  <c r="H76" i="25"/>
  <c r="H74" i="25"/>
  <c r="H72" i="25"/>
  <c r="H71" i="25"/>
  <c r="H69" i="25"/>
  <c r="H68" i="25"/>
  <c r="H66" i="25"/>
  <c r="H65" i="25"/>
  <c r="H63" i="25"/>
  <c r="H62" i="25"/>
  <c r="H61" i="25"/>
  <c r="H59" i="25"/>
  <c r="H58" i="25"/>
  <c r="H56" i="25"/>
  <c r="H55" i="25"/>
  <c r="H53" i="25"/>
  <c r="H52" i="25"/>
  <c r="H50" i="25"/>
  <c r="H49" i="25"/>
  <c r="H47" i="25"/>
  <c r="H46" i="25"/>
  <c r="H44" i="25"/>
  <c r="H43" i="25"/>
  <c r="H41" i="25"/>
  <c r="H40" i="25"/>
  <c r="H38" i="25"/>
  <c r="H37" i="25"/>
  <c r="H36" i="25"/>
  <c r="H34" i="25"/>
  <c r="H33" i="25"/>
  <c r="H31" i="25"/>
  <c r="H30" i="25"/>
  <c r="H28" i="25"/>
  <c r="H27" i="25"/>
  <c r="H26" i="25"/>
  <c r="H24" i="25"/>
  <c r="H23" i="25"/>
  <c r="H21" i="25"/>
  <c r="H20" i="25"/>
  <c r="H18" i="25"/>
  <c r="H17" i="25"/>
  <c r="H15" i="25"/>
  <c r="G42" i="25"/>
  <c r="G39" i="25"/>
  <c r="G38" i="25"/>
  <c r="G35" i="25"/>
  <c r="G34" i="25"/>
  <c r="G31" i="25"/>
  <c r="G30" i="25"/>
  <c r="G27" i="25"/>
  <c r="G25" i="25"/>
  <c r="G23" i="25"/>
  <c r="G20" i="25"/>
  <c r="G19" i="25"/>
  <c r="G16" i="25"/>
  <c r="G15" i="25"/>
  <c r="H450" i="25"/>
  <c r="G243" i="25"/>
  <c r="H111" i="25"/>
  <c r="H99" i="25"/>
  <c r="H87" i="25"/>
  <c r="H83" i="25"/>
  <c r="AO109" i="23"/>
  <c r="AO108" i="23"/>
  <c r="AO107" i="23"/>
  <c r="AO106" i="23"/>
  <c r="AO105" i="23"/>
  <c r="AO104" i="23"/>
  <c r="AO103" i="23"/>
  <c r="AO102" i="23"/>
  <c r="AO101" i="23"/>
  <c r="AO100" i="23"/>
  <c r="AO99" i="23"/>
  <c r="AO98" i="23"/>
  <c r="AO97" i="23"/>
  <c r="AO96" i="23"/>
  <c r="AO95" i="23"/>
  <c r="AO94" i="23"/>
  <c r="AO93" i="23"/>
  <c r="AO92" i="23"/>
  <c r="AO91" i="23"/>
  <c r="AO90" i="23"/>
  <c r="AO89" i="23"/>
  <c r="AO88" i="23"/>
  <c r="AO87" i="23"/>
  <c r="AO86" i="23"/>
  <c r="AO85" i="23"/>
  <c r="AO84" i="23"/>
  <c r="AO83" i="23"/>
  <c r="AO82" i="23"/>
  <c r="AO81" i="23"/>
  <c r="H109" i="23"/>
  <c r="H107" i="23"/>
  <c r="H105" i="23"/>
  <c r="H103" i="23"/>
  <c r="H101" i="23"/>
  <c r="H99" i="23"/>
  <c r="H97" i="23"/>
  <c r="H95" i="23"/>
  <c r="H91" i="23"/>
  <c r="H87" i="23"/>
  <c r="H83" i="23"/>
  <c r="AO59" i="23"/>
  <c r="AO58" i="23"/>
  <c r="AO57" i="23"/>
  <c r="AO56" i="23"/>
  <c r="AO55" i="23"/>
  <c r="AO54" i="23"/>
  <c r="AO53" i="23"/>
  <c r="AO52" i="23"/>
  <c r="AO51" i="23"/>
  <c r="AO50" i="23"/>
  <c r="H49" i="23"/>
  <c r="H48" i="23"/>
  <c r="H47" i="23"/>
  <c r="H46" i="23"/>
  <c r="H45" i="23"/>
  <c r="H44" i="23"/>
  <c r="H43" i="23"/>
  <c r="H42" i="23"/>
  <c r="H41" i="23"/>
  <c r="H40" i="23"/>
  <c r="H39" i="23"/>
  <c r="H38" i="23"/>
  <c r="AO32" i="23"/>
  <c r="AO31" i="23"/>
  <c r="AO30" i="23"/>
  <c r="H29" i="23"/>
  <c r="H28" i="23"/>
  <c r="AO22" i="23"/>
  <c r="AO21" i="23"/>
  <c r="H20" i="23"/>
  <c r="AO14" i="23"/>
  <c r="AO13" i="23"/>
  <c r="AO12" i="23"/>
  <c r="AO11" i="23"/>
  <c r="H9" i="23"/>
  <c r="H102" i="23"/>
  <c r="H80" i="23"/>
  <c r="H76" i="23"/>
  <c r="H72" i="23"/>
  <c r="H68" i="23"/>
  <c r="H92" i="23"/>
  <c r="H88" i="23"/>
  <c r="H84" i="23"/>
  <c r="AO49" i="23"/>
  <c r="AO48" i="23"/>
  <c r="AO47" i="23"/>
  <c r="AO46" i="23"/>
  <c r="AO45" i="23"/>
  <c r="AO44" i="23"/>
  <c r="AO43" i="23"/>
  <c r="AO42" i="23"/>
  <c r="AO41" i="23"/>
  <c r="AO40" i="23"/>
  <c r="AO39" i="23"/>
  <c r="AO38" i="23"/>
  <c r="H37" i="23"/>
  <c r="H36" i="23"/>
  <c r="H35" i="23"/>
  <c r="AO29" i="23"/>
  <c r="AO28" i="23"/>
  <c r="H27" i="23"/>
  <c r="AO20" i="23"/>
  <c r="H19" i="23"/>
  <c r="H18" i="23"/>
  <c r="H17" i="23"/>
  <c r="H16" i="23"/>
  <c r="AO10" i="23"/>
  <c r="AO9" i="23"/>
  <c r="H98" i="23"/>
  <c r="H89" i="23"/>
  <c r="H81" i="23"/>
  <c r="H78" i="23"/>
  <c r="H73" i="23"/>
  <c r="H69" i="23"/>
  <c r="H66" i="23"/>
  <c r="H94" i="23"/>
  <c r="H90" i="23"/>
  <c r="H86" i="23"/>
  <c r="H82" i="23"/>
  <c r="AO80" i="23"/>
  <c r="AO79" i="23"/>
  <c r="AO78" i="23"/>
  <c r="AO77" i="23"/>
  <c r="AO76" i="23"/>
  <c r="AO75" i="23"/>
  <c r="AO74" i="23"/>
  <c r="AO73" i="23"/>
  <c r="AO72" i="23"/>
  <c r="AO71" i="23"/>
  <c r="AO70" i="23"/>
  <c r="AO69" i="23"/>
  <c r="AO68" i="23"/>
  <c r="AO67" i="23"/>
  <c r="AO66" i="23"/>
  <c r="AO65" i="23"/>
  <c r="AO64" i="23"/>
  <c r="AO63" i="23"/>
  <c r="AO62" i="23"/>
  <c r="AO61" i="23"/>
  <c r="AO60" i="23"/>
  <c r="H59" i="23"/>
  <c r="H58" i="23"/>
  <c r="H57" i="23"/>
  <c r="H56" i="23"/>
  <c r="H55" i="23"/>
  <c r="H54" i="23"/>
  <c r="H53" i="23"/>
  <c r="H52" i="23"/>
  <c r="H51" i="23"/>
  <c r="H50" i="23"/>
  <c r="AO34" i="23"/>
  <c r="AO33" i="23"/>
  <c r="H32" i="23"/>
  <c r="H31" i="23"/>
  <c r="H30" i="23"/>
  <c r="AO26" i="23"/>
  <c r="AO25" i="23"/>
  <c r="AO24" i="23"/>
  <c r="AO23" i="23"/>
  <c r="H22" i="23"/>
  <c r="H21" i="23"/>
  <c r="AO15" i="23"/>
  <c r="H14" i="23"/>
  <c r="H13" i="23"/>
  <c r="H12" i="23"/>
  <c r="H11" i="23"/>
  <c r="B11" i="23"/>
  <c r="H10" i="23"/>
  <c r="H108" i="23"/>
  <c r="H106" i="23"/>
  <c r="H104" i="23"/>
  <c r="H100" i="23"/>
  <c r="H96" i="23"/>
  <c r="H93" i="23"/>
  <c r="H85" i="23"/>
  <c r="H79" i="23"/>
  <c r="H77" i="23"/>
  <c r="H75" i="23"/>
  <c r="H74" i="23"/>
  <c r="H71" i="23"/>
  <c r="H70" i="23"/>
  <c r="H67" i="23"/>
  <c r="H65" i="23"/>
  <c r="H63" i="23"/>
  <c r="H61" i="23"/>
  <c r="AO37" i="23"/>
  <c r="AO35" i="23"/>
  <c r="H34" i="23"/>
  <c r="H25" i="23"/>
  <c r="H60" i="23"/>
  <c r="H33" i="23"/>
  <c r="H26" i="23"/>
  <c r="AO18" i="23"/>
  <c r="H15" i="23"/>
  <c r="H62" i="23"/>
  <c r="AO19" i="23"/>
  <c r="AO17" i="23"/>
  <c r="H23" i="23"/>
  <c r="AO16" i="23"/>
  <c r="H64" i="23"/>
  <c r="AO36" i="23"/>
  <c r="AO27" i="23"/>
  <c r="H24" i="23"/>
  <c r="K9" i="23"/>
  <c r="AW8" i="23"/>
  <c r="AX8" i="23"/>
  <c r="K97" i="23"/>
  <c r="K50" i="23"/>
  <c r="K78" i="23"/>
  <c r="K43" i="23"/>
  <c r="K104" i="23"/>
  <c r="K37" i="23"/>
  <c r="K35" i="23"/>
  <c r="K24" i="23"/>
  <c r="K68" i="23"/>
  <c r="K32" i="23"/>
  <c r="K89" i="23"/>
  <c r="K96" i="23"/>
  <c r="K25" i="23"/>
  <c r="K57" i="23"/>
  <c r="K33" i="23"/>
  <c r="K94" i="23"/>
  <c r="K44" i="23"/>
  <c r="K27" i="23"/>
  <c r="K91" i="23"/>
  <c r="K93" i="23"/>
  <c r="K22" i="23"/>
  <c r="K88" i="23"/>
  <c r="K15" i="23"/>
  <c r="K87" i="23"/>
  <c r="K14" i="23"/>
  <c r="K65" i="23"/>
  <c r="K107" i="23"/>
  <c r="K66" i="23"/>
  <c r="K13" i="23"/>
  <c r="K52" i="23"/>
  <c r="K29" i="23"/>
  <c r="K51" i="23"/>
  <c r="K16" i="23"/>
  <c r="K10" i="23"/>
  <c r="K59" i="23"/>
  <c r="K101" i="23"/>
  <c r="K80" i="23"/>
  <c r="K79" i="23"/>
  <c r="K42" i="23"/>
  <c r="K40" i="23"/>
  <c r="K61" i="23"/>
  <c r="K34" i="23"/>
  <c r="K56" i="23"/>
  <c r="K39" i="23"/>
  <c r="K55" i="23"/>
  <c r="K20" i="23"/>
  <c r="K76" i="23"/>
  <c r="K41" i="23"/>
  <c r="K38" i="23"/>
  <c r="K84" i="23"/>
  <c r="K102" i="23"/>
  <c r="K83" i="23"/>
  <c r="K48" i="23"/>
  <c r="K81" i="23"/>
  <c r="K60" i="23"/>
  <c r="K105" i="23"/>
  <c r="K106" i="23"/>
  <c r="K69" i="23"/>
  <c r="K62" i="23"/>
  <c r="K47" i="23"/>
  <c r="K18" i="23"/>
  <c r="K46" i="23"/>
  <c r="K12" i="23"/>
  <c r="K103" i="23"/>
  <c r="K90" i="23"/>
  <c r="K86" i="23"/>
  <c r="K82" i="23"/>
  <c r="K70" i="23"/>
  <c r="K67" i="23"/>
  <c r="K49" i="23"/>
  <c r="K21" i="23"/>
  <c r="K54" i="23"/>
  <c r="K53" i="23"/>
  <c r="K26" i="23"/>
  <c r="K95" i="23"/>
  <c r="K98" i="23"/>
  <c r="K36" i="23"/>
  <c r="K100" i="23"/>
  <c r="K23" i="23"/>
  <c r="K63" i="23"/>
  <c r="K19" i="23"/>
  <c r="K109" i="23"/>
  <c r="K92" i="23"/>
  <c r="K72" i="23"/>
  <c r="K45" i="23"/>
  <c r="K31" i="23"/>
  <c r="K108" i="23"/>
  <c r="K11" i="23"/>
  <c r="K75" i="23"/>
  <c r="K64" i="23"/>
  <c r="K77" i="23"/>
  <c r="K71" i="23"/>
  <c r="K73" i="23"/>
  <c r="K30" i="23"/>
  <c r="K17" i="23"/>
  <c r="K58" i="23"/>
  <c r="K85" i="23"/>
  <c r="K28" i="23"/>
  <c r="K74" i="23"/>
  <c r="K99" i="23"/>
  <c r="F234"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D53" i="2"/>
  <c r="D54" i="2"/>
  <c r="B39" i="2"/>
  <c r="D39" i="2"/>
  <c r="B38" i="2"/>
  <c r="D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375" i="2"/>
  <c r="B347" i="2"/>
  <c r="A361" i="2"/>
  <c r="B387" i="2"/>
  <c r="B361" i="2"/>
  <c r="F135" i="2" l="1"/>
  <c r="F136" i="2"/>
  <c r="B136" i="2" s="1"/>
  <c r="K132" i="2"/>
  <c r="K133" i="2"/>
  <c r="B16" i="21"/>
  <c r="A375" i="2"/>
  <c r="B27" i="2" l="1"/>
  <c r="B190" i="2" s="1"/>
  <c r="D186" i="2" l="1"/>
  <c r="B30" i="2"/>
  <c r="D58" i="2"/>
  <c r="D133" i="2" s="1"/>
  <c r="D57" i="2"/>
  <c r="D132" i="2" s="1"/>
  <c r="B41" i="2"/>
  <c r="D227" i="2"/>
  <c r="B75" i="1" s="1"/>
  <c r="D42" i="2"/>
  <c r="D44" i="2" s="1"/>
  <c r="N3" i="25"/>
  <c r="N5" i="25" s="1"/>
  <c r="AL9" i="23"/>
  <c r="B78" i="23"/>
  <c r="AL23" i="23"/>
  <c r="AL107" i="23"/>
  <c r="AL75" i="23"/>
  <c r="AL19" i="23"/>
  <c r="AL24" i="23"/>
  <c r="AL43" i="23"/>
  <c r="AL103" i="23"/>
  <c r="AL35" i="23"/>
  <c r="AL100" i="23"/>
  <c r="AL52" i="23"/>
  <c r="AL67" i="23"/>
  <c r="AL30" i="23"/>
  <c r="AL32" i="23"/>
  <c r="AL60" i="23"/>
  <c r="AL72" i="23"/>
  <c r="AL15" i="23"/>
  <c r="AL87" i="23"/>
  <c r="AL14" i="23"/>
  <c r="AL105" i="23"/>
  <c r="AL38" i="23"/>
  <c r="AL31" i="23"/>
  <c r="AL99" i="23"/>
  <c r="AL54" i="23"/>
  <c r="AL11" i="23"/>
  <c r="AL96" i="23"/>
  <c r="AL64" i="23"/>
  <c r="AL95" i="23"/>
  <c r="AL63" i="23"/>
  <c r="AL28" i="23"/>
  <c r="AL86" i="23"/>
  <c r="AL59" i="23"/>
  <c r="AL78" i="23"/>
  <c r="AL22" i="23"/>
  <c r="AL71" i="23"/>
  <c r="AL68" i="23"/>
  <c r="AL51" i="23"/>
  <c r="AL16" i="23"/>
  <c r="AL39" i="23"/>
  <c r="AL102" i="23"/>
  <c r="AL49" i="23"/>
  <c r="AL108" i="23"/>
  <c r="AL42" i="23"/>
  <c r="AL93" i="23"/>
  <c r="AL34" i="23"/>
  <c r="AL37" i="23"/>
  <c r="AL66" i="23"/>
  <c r="AL57" i="23"/>
  <c r="AL29" i="23"/>
  <c r="AL90" i="23"/>
  <c r="AL65" i="23"/>
  <c r="AL45" i="23"/>
  <c r="AL50" i="23"/>
  <c r="AL109" i="23"/>
  <c r="AL98" i="23"/>
  <c r="AL13" i="23"/>
  <c r="AL85" i="23"/>
  <c r="AL53" i="23"/>
  <c r="AL26" i="23"/>
  <c r="AL58" i="23"/>
  <c r="AL25" i="23"/>
  <c r="AL76" i="23"/>
  <c r="AL91" i="23"/>
  <c r="AL40" i="23"/>
  <c r="AL88" i="23"/>
  <c r="AL20" i="23"/>
  <c r="AL70" i="23"/>
  <c r="AL48" i="23"/>
  <c r="AL92" i="23"/>
  <c r="AL56" i="23"/>
  <c r="AL36" i="23"/>
  <c r="AL81" i="23"/>
  <c r="AL10" i="23"/>
  <c r="AL77" i="23"/>
  <c r="AL74" i="23"/>
  <c r="AL89" i="23"/>
  <c r="AL17" i="23"/>
  <c r="AL97" i="23"/>
  <c r="AL21" i="23"/>
  <c r="AL41" i="23"/>
  <c r="AL61" i="23"/>
  <c r="AL73" i="23"/>
  <c r="AL82" i="23"/>
  <c r="AL106" i="23"/>
  <c r="AL101" i="23"/>
  <c r="AL69" i="23"/>
  <c r="AL33" i="23"/>
  <c r="AL18" i="23"/>
  <c r="AL83" i="23"/>
  <c r="AL27" i="23"/>
  <c r="AL104" i="23"/>
  <c r="AL55" i="23"/>
  <c r="AL84" i="23"/>
  <c r="AL62" i="23"/>
  <c r="AL12" i="23"/>
  <c r="AL80" i="23"/>
  <c r="AL79" i="23"/>
  <c r="AL46" i="23"/>
  <c r="AL94" i="23"/>
  <c r="AL44" i="23"/>
  <c r="AL47" i="23"/>
  <c r="AM42" i="23"/>
  <c r="AM66" i="23"/>
  <c r="AM65" i="23"/>
  <c r="AM98" i="23"/>
  <c r="AM26" i="23"/>
  <c r="AM74" i="23"/>
  <c r="AM82" i="23"/>
  <c r="AM19" i="23"/>
  <c r="AM35" i="23"/>
  <c r="AM30" i="23"/>
  <c r="AM15" i="23"/>
  <c r="AM38" i="23"/>
  <c r="AM11" i="23"/>
  <c r="AM63" i="23"/>
  <c r="AM17" i="23"/>
  <c r="AM91" i="23"/>
  <c r="AM22" i="23"/>
  <c r="AM68" i="23"/>
  <c r="AM48" i="23"/>
  <c r="AM104" i="23"/>
  <c r="AM36" i="23"/>
  <c r="AM80" i="23"/>
  <c r="AM46" i="23"/>
  <c r="AM73" i="23"/>
  <c r="AM101" i="23"/>
  <c r="AM9" i="23"/>
  <c r="AM93" i="23"/>
  <c r="AM57" i="23"/>
  <c r="AM45" i="23"/>
  <c r="AM13" i="23"/>
  <c r="AM58" i="23"/>
  <c r="AM89" i="23"/>
  <c r="AM23" i="23"/>
  <c r="AM24" i="23"/>
  <c r="AM100" i="23"/>
  <c r="AM32" i="23"/>
  <c r="AM87" i="23"/>
  <c r="AM31" i="23"/>
  <c r="AM96" i="23"/>
  <c r="AM28" i="23"/>
  <c r="AM97" i="23"/>
  <c r="AM59" i="23"/>
  <c r="AM88" i="23"/>
  <c r="AM70" i="23"/>
  <c r="AM16" i="23"/>
  <c r="AM56" i="23"/>
  <c r="AM84" i="23"/>
  <c r="AM47" i="23"/>
  <c r="AM44" i="23"/>
  <c r="AM106" i="23"/>
  <c r="AM33" i="23"/>
  <c r="AM75" i="23"/>
  <c r="AM103" i="23"/>
  <c r="AM72" i="23"/>
  <c r="AM54" i="23"/>
  <c r="AM95" i="23"/>
  <c r="AM86" i="23"/>
  <c r="AM78" i="23"/>
  <c r="AM51" i="23"/>
  <c r="AM92" i="23"/>
  <c r="AM62" i="23"/>
  <c r="AM79" i="23"/>
  <c r="AM69" i="23"/>
  <c r="AM49" i="23"/>
  <c r="AM34" i="23"/>
  <c r="AM29" i="23"/>
  <c r="AM50" i="23"/>
  <c r="AM85" i="23"/>
  <c r="AM25" i="23"/>
  <c r="AM21" i="23"/>
  <c r="AM107" i="23"/>
  <c r="AM43" i="23"/>
  <c r="AM52" i="23"/>
  <c r="AM60" i="23"/>
  <c r="AM14" i="23"/>
  <c r="AM99" i="23"/>
  <c r="AM64" i="23"/>
  <c r="AM81" i="23"/>
  <c r="AM76" i="23"/>
  <c r="AM40" i="23"/>
  <c r="AM71" i="23"/>
  <c r="AM83" i="23"/>
  <c r="AM27" i="23"/>
  <c r="AM39" i="23"/>
  <c r="AM102" i="23"/>
  <c r="AM94" i="23"/>
  <c r="AM12" i="23"/>
  <c r="AM18" i="23"/>
  <c r="AM108" i="23"/>
  <c r="AM37" i="23"/>
  <c r="AM90" i="23"/>
  <c r="AM109" i="23"/>
  <c r="AM53" i="23"/>
  <c r="AM10" i="23"/>
  <c r="AM61" i="23"/>
  <c r="AM67" i="23"/>
  <c r="AM105" i="23"/>
  <c r="AM77" i="23"/>
  <c r="AM20" i="23"/>
  <c r="AM55" i="23"/>
  <c r="AM41" i="23"/>
  <c r="B13" i="23"/>
  <c r="D41" i="2"/>
  <c r="B13" i="21"/>
  <c r="B78" i="21"/>
  <c r="B28" i="2"/>
  <c r="B327" i="2"/>
  <c r="B222" i="2"/>
  <c r="N3" i="17"/>
  <c r="N5" i="17" s="1"/>
  <c r="N22" i="8"/>
  <c r="D60" i="16"/>
  <c r="L190" i="2" l="1"/>
  <c r="M190" i="2" s="1"/>
  <c r="K190" i="2"/>
  <c r="J3" i="8"/>
  <c r="C636" i="25"/>
  <c r="A626" i="25"/>
  <c r="B79" i="23"/>
  <c r="B70" i="23"/>
  <c r="D112" i="2"/>
  <c r="D127" i="2"/>
  <c r="J38" i="1" s="1"/>
  <c r="D123" i="2"/>
  <c r="D120" i="2"/>
  <c r="D121" i="2" s="1"/>
  <c r="D113" i="2"/>
  <c r="D62" i="2"/>
  <c r="D69" i="2"/>
  <c r="D81" i="2"/>
  <c r="D90" i="2" s="1"/>
  <c r="D99" i="2"/>
  <c r="D61" i="2"/>
  <c r="D68" i="2"/>
  <c r="J30" i="1" s="1"/>
  <c r="D80" i="2"/>
  <c r="D89" i="2" s="1"/>
  <c r="D92" i="2" s="1"/>
  <c r="D98" i="2"/>
  <c r="J27" i="1"/>
  <c r="A626" i="17"/>
  <c r="C636" i="17"/>
  <c r="I60" i="16"/>
  <c r="J23" i="1" l="1"/>
  <c r="D102" i="2"/>
  <c r="D106" i="2" s="1"/>
  <c r="D103" i="2"/>
  <c r="D107" i="2" s="1"/>
  <c r="J24" i="1"/>
  <c r="D61" i="16"/>
  <c r="C67" i="16"/>
  <c r="D67" i="16" s="1"/>
  <c r="D71" i="16"/>
  <c r="D74" i="16"/>
  <c r="C58" i="16"/>
  <c r="D56" i="16"/>
  <c r="D53" i="16"/>
  <c r="D52" i="16"/>
  <c r="D55" i="16"/>
  <c r="D45" i="16"/>
  <c r="B363" i="2"/>
  <c r="F63" i="1" l="1"/>
  <c r="D72" i="16" l="1"/>
  <c r="D73" i="16" l="1"/>
  <c r="B126" i="2"/>
  <c r="B224" i="2"/>
  <c r="B46" i="2"/>
  <c r="B140" i="2"/>
  <c r="B311" i="2"/>
  <c r="B280" i="2"/>
  <c r="B42" i="21" s="1"/>
  <c r="B339" i="2"/>
  <c r="B47" i="2"/>
  <c r="B7" i="2"/>
  <c r="B146" i="2"/>
  <c r="B273" i="2"/>
  <c r="B292" i="2"/>
  <c r="B37" i="23" s="1"/>
  <c r="B238" i="2"/>
  <c r="N10" i="8" s="1"/>
  <c r="B307" i="2"/>
  <c r="B47" i="23" s="1"/>
  <c r="B310" i="2"/>
  <c r="B304" i="2"/>
  <c r="B46" i="23" s="1"/>
  <c r="B160" i="2"/>
  <c r="B275" i="2"/>
  <c r="B294" i="2"/>
  <c r="B285" i="2"/>
  <c r="B276" i="2"/>
  <c r="B277" i="2"/>
  <c r="B41" i="21" s="1"/>
  <c r="B282" i="2"/>
  <c r="B281" i="2"/>
  <c r="B43" i="21" s="1"/>
  <c r="B386" i="2"/>
  <c r="B288" i="2"/>
  <c r="B255" i="2"/>
  <c r="B20" i="23" s="1"/>
  <c r="B151" i="2"/>
  <c r="B23" i="23" s="1"/>
  <c r="B274" i="2"/>
  <c r="B38" i="23" s="1"/>
  <c r="B293" i="2"/>
  <c r="B50" i="23" s="1"/>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6" i="8"/>
  <c r="A68" i="8" s="1"/>
  <c r="A80" i="8" s="1"/>
  <c r="A92" i="8" s="1"/>
  <c r="A104" i="8" s="1"/>
  <c r="A116" i="8" s="1"/>
  <c r="A128" i="8" s="1"/>
  <c r="A140" i="8" s="1"/>
  <c r="A152" i="8" s="1"/>
  <c r="A57" i="8"/>
  <c r="A69" i="8" s="1"/>
  <c r="A81" i="8" s="1"/>
  <c r="A93" i="8" s="1"/>
  <c r="A105" i="8" s="1"/>
  <c r="A117" i="8" s="1"/>
  <c r="A129" i="8" s="1"/>
  <c r="A141" i="8" s="1"/>
  <c r="A153" i="8" s="1"/>
  <c r="B116" i="2"/>
  <c r="A343" i="2"/>
  <c r="B343" i="2"/>
  <c r="A363" i="2"/>
  <c r="B385" i="2"/>
  <c r="B341" i="2" l="1"/>
  <c r="B93" i="2"/>
  <c r="M56" i="23" s="1"/>
  <c r="N56" i="23" s="1"/>
  <c r="D341" i="2"/>
  <c r="AM90" i="21"/>
  <c r="AM29" i="21"/>
  <c r="AM9" i="21"/>
  <c r="AM78" i="21"/>
  <c r="AM89" i="21"/>
  <c r="AM68" i="21"/>
  <c r="AM18" i="21"/>
  <c r="AM93" i="21"/>
  <c r="AM49" i="21"/>
  <c r="AM26" i="21"/>
  <c r="AM41" i="21"/>
  <c r="AM17" i="21"/>
  <c r="AM80" i="21"/>
  <c r="AM98" i="21"/>
  <c r="AM95" i="21"/>
  <c r="AM76" i="21"/>
  <c r="AM21" i="21"/>
  <c r="AM35" i="21"/>
  <c r="AM30" i="21"/>
  <c r="AM72" i="21"/>
  <c r="AM102" i="21"/>
  <c r="AM84" i="21"/>
  <c r="AM101" i="21"/>
  <c r="AM69" i="21"/>
  <c r="AM14" i="21"/>
  <c r="AM16" i="21"/>
  <c r="AM22" i="21"/>
  <c r="AM96" i="21"/>
  <c r="AM73" i="21"/>
  <c r="AM46" i="21"/>
  <c r="AM99" i="21"/>
  <c r="AM54" i="21"/>
  <c r="AM109" i="21"/>
  <c r="AM63" i="21"/>
  <c r="AM88" i="21"/>
  <c r="AM39" i="21"/>
  <c r="AM48" i="21"/>
  <c r="AM10" i="21"/>
  <c r="AM60" i="21"/>
  <c r="AM70" i="21"/>
  <c r="AM13" i="21"/>
  <c r="AM43" i="21"/>
  <c r="AM85" i="21"/>
  <c r="AM92" i="21"/>
  <c r="AM24" i="21"/>
  <c r="AM103" i="21"/>
  <c r="AM107" i="21"/>
  <c r="AM47" i="21"/>
  <c r="AM100" i="21"/>
  <c r="AM83" i="21"/>
  <c r="AM36" i="21"/>
  <c r="AM66" i="21"/>
  <c r="AM58" i="21"/>
  <c r="AM87" i="21"/>
  <c r="AM56" i="21"/>
  <c r="AM19" i="21"/>
  <c r="AM25" i="21"/>
  <c r="AM28" i="21"/>
  <c r="AM59" i="21"/>
  <c r="AM75" i="21"/>
  <c r="AM108" i="21"/>
  <c r="AM33" i="21"/>
  <c r="AM11" i="21"/>
  <c r="AM104" i="21"/>
  <c r="AM82" i="21"/>
  <c r="AM40" i="21"/>
  <c r="AM50" i="21"/>
  <c r="AM45" i="21"/>
  <c r="AM32" i="21"/>
  <c r="AM91" i="21"/>
  <c r="AM77" i="21"/>
  <c r="AM94" i="21"/>
  <c r="AM27" i="21"/>
  <c r="AM44" i="21"/>
  <c r="AM31" i="21"/>
  <c r="AM20" i="21"/>
  <c r="AM86" i="21"/>
  <c r="AM57" i="21"/>
  <c r="AM23" i="21"/>
  <c r="AM64" i="21"/>
  <c r="AM12" i="21"/>
  <c r="AM51" i="21"/>
  <c r="AM42" i="21"/>
  <c r="AM61" i="21"/>
  <c r="AM37" i="21"/>
  <c r="AM67" i="21"/>
  <c r="AM38" i="21"/>
  <c r="AM53" i="21"/>
  <c r="AM34" i="21"/>
  <c r="AM71" i="21"/>
  <c r="AM55" i="21"/>
  <c r="AM105" i="21"/>
  <c r="AM15" i="21"/>
  <c r="AM81" i="21"/>
  <c r="AM52" i="21"/>
  <c r="AM62" i="21"/>
  <c r="AM106" i="21"/>
  <c r="AM65" i="21"/>
  <c r="AM79" i="21"/>
  <c r="AM97" i="21"/>
  <c r="AM74" i="21"/>
  <c r="AR57" i="23"/>
  <c r="AR18" i="23"/>
  <c r="AR19" i="23"/>
  <c r="AR83" i="23"/>
  <c r="AR44" i="23"/>
  <c r="AR108" i="23"/>
  <c r="AR77" i="23"/>
  <c r="AR46" i="23"/>
  <c r="AR95" i="23"/>
  <c r="AR24" i="23"/>
  <c r="AR31" i="23"/>
  <c r="AR103" i="23"/>
  <c r="AR84" i="23"/>
  <c r="AR14" i="23"/>
  <c r="AR105" i="23"/>
  <c r="AR30" i="23"/>
  <c r="AR65" i="23"/>
  <c r="AR26" i="23"/>
  <c r="AR27" i="23"/>
  <c r="AR91" i="23"/>
  <c r="AR52" i="23"/>
  <c r="AR13" i="23"/>
  <c r="AR85" i="23"/>
  <c r="AR54" i="23"/>
  <c r="AR32" i="23"/>
  <c r="AR48" i="23"/>
  <c r="AR39" i="23"/>
  <c r="AR40" i="23"/>
  <c r="AR59" i="23"/>
  <c r="AR67" i="23"/>
  <c r="AR61" i="23"/>
  <c r="AR106" i="23"/>
  <c r="AR73" i="23"/>
  <c r="AR34" i="23"/>
  <c r="AR35" i="23"/>
  <c r="AR99" i="23"/>
  <c r="AR60" i="23"/>
  <c r="AR29" i="23"/>
  <c r="AR93" i="23"/>
  <c r="AR62" i="23"/>
  <c r="AR56" i="23"/>
  <c r="AR72" i="23"/>
  <c r="AR47" i="23"/>
  <c r="AR64" i="23"/>
  <c r="AR20" i="23"/>
  <c r="AR92" i="23"/>
  <c r="AR17" i="23"/>
  <c r="AR81" i="23"/>
  <c r="AR42" i="23"/>
  <c r="AR43" i="23"/>
  <c r="AR107" i="23"/>
  <c r="AR68" i="23"/>
  <c r="AR37" i="23"/>
  <c r="AR101" i="23"/>
  <c r="AR70" i="23"/>
  <c r="AR88" i="23"/>
  <c r="AR96" i="23"/>
  <c r="AR55" i="23"/>
  <c r="AR80" i="23"/>
  <c r="AR58" i="23"/>
  <c r="AR22" i="23"/>
  <c r="AR90" i="23"/>
  <c r="AR28" i="23"/>
  <c r="AR15" i="23"/>
  <c r="AR25" i="23"/>
  <c r="AR89" i="23"/>
  <c r="AR50" i="23"/>
  <c r="AR51" i="23"/>
  <c r="AR12" i="23"/>
  <c r="AR76" i="23"/>
  <c r="AR45" i="23"/>
  <c r="AR109" i="23"/>
  <c r="AR78" i="23"/>
  <c r="AR66" i="23"/>
  <c r="AR74" i="23"/>
  <c r="AR63" i="23"/>
  <c r="AR104" i="23"/>
  <c r="AR97" i="23"/>
  <c r="AR86" i="23"/>
  <c r="AR82" i="23"/>
  <c r="AR21" i="23"/>
  <c r="AR33" i="23"/>
  <c r="AR49" i="23"/>
  <c r="AR10" i="23"/>
  <c r="AR11" i="23"/>
  <c r="AR75" i="23"/>
  <c r="AR36" i="23"/>
  <c r="AR100" i="23"/>
  <c r="AR69" i="23"/>
  <c r="AR38" i="23"/>
  <c r="AR102" i="23"/>
  <c r="AR9" i="23"/>
  <c r="AR23" i="23"/>
  <c r="AR87" i="23"/>
  <c r="AR16" i="23"/>
  <c r="AR53" i="23"/>
  <c r="AR98" i="23"/>
  <c r="AR71" i="23"/>
  <c r="AR41" i="23"/>
  <c r="AR94" i="23"/>
  <c r="AR79" i="23"/>
  <c r="B162"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D58" i="16"/>
  <c r="D59" i="16"/>
  <c r="A42" i="16"/>
  <c r="B143" i="2"/>
  <c r="B142" i="2"/>
  <c r="B22" i="23"/>
  <c r="B283" i="2"/>
  <c r="AP37" i="23"/>
  <c r="AS37" i="23" s="1"/>
  <c r="AP99" i="23"/>
  <c r="AS99" i="23" s="1"/>
  <c r="AP92" i="23"/>
  <c r="AS92" i="23" s="1"/>
  <c r="AP15" i="23"/>
  <c r="AS15" i="23" s="1"/>
  <c r="AP10" i="23"/>
  <c r="AS10" i="23" s="1"/>
  <c r="AP77" i="23"/>
  <c r="AS77" i="23" s="1"/>
  <c r="AP41" i="23"/>
  <c r="AS41" i="23" s="1"/>
  <c r="AP49" i="23"/>
  <c r="AS49" i="23" s="1"/>
  <c r="AP88" i="23"/>
  <c r="AS88" i="23" s="1"/>
  <c r="AP9" i="23"/>
  <c r="AS9" i="23" s="1"/>
  <c r="B75" i="23" s="1"/>
  <c r="B76" i="23" s="1"/>
  <c r="AP75" i="23"/>
  <c r="AS75" i="23" s="1"/>
  <c r="AP84" i="23"/>
  <c r="AS84" i="23" s="1"/>
  <c r="AP27" i="23"/>
  <c r="AS27" i="23" s="1"/>
  <c r="AP52" i="23"/>
  <c r="AS52" i="23" s="1"/>
  <c r="AP69" i="23"/>
  <c r="AS69" i="23" s="1"/>
  <c r="AP25" i="23"/>
  <c r="AS25" i="23" s="1"/>
  <c r="AP108" i="23"/>
  <c r="AS108" i="23" s="1"/>
  <c r="AP63" i="23"/>
  <c r="AS63" i="23" s="1"/>
  <c r="AP26" i="23"/>
  <c r="AS26" i="23" s="1"/>
  <c r="AP109" i="23"/>
  <c r="AS109" i="23" s="1"/>
  <c r="AP105" i="23"/>
  <c r="AS105" i="23" s="1"/>
  <c r="AP34" i="23"/>
  <c r="AS34" i="23" s="1"/>
  <c r="AP21" i="23"/>
  <c r="AS21" i="23" s="1"/>
  <c r="AP17" i="23"/>
  <c r="AS17" i="23" s="1"/>
  <c r="AP91" i="23"/>
  <c r="AS91" i="23" s="1"/>
  <c r="AP100" i="23"/>
  <c r="AS100" i="23" s="1"/>
  <c r="AP64" i="23"/>
  <c r="AS64" i="23" s="1"/>
  <c r="AP87" i="23"/>
  <c r="AS87" i="23" s="1"/>
  <c r="AP22" i="23"/>
  <c r="AS22" i="23" s="1"/>
  <c r="AP101" i="23"/>
  <c r="AS101" i="23" s="1"/>
  <c r="AP89" i="23"/>
  <c r="AS89" i="23" s="1"/>
  <c r="AP33" i="23"/>
  <c r="AS33" i="23" s="1"/>
  <c r="AP79" i="23"/>
  <c r="AS79" i="23" s="1"/>
  <c r="AP42" i="23"/>
  <c r="AS42" i="23" s="1"/>
  <c r="AP23" i="23"/>
  <c r="AS23" i="23" s="1"/>
  <c r="AP16" i="23"/>
  <c r="AS16" i="23" s="1"/>
  <c r="AP82" i="23"/>
  <c r="AS82" i="23" s="1"/>
  <c r="AP14" i="23"/>
  <c r="AS14" i="23" s="1"/>
  <c r="AP53" i="23"/>
  <c r="AS53" i="23" s="1"/>
  <c r="AP107" i="23"/>
  <c r="AS107" i="23" s="1"/>
  <c r="AP65" i="23"/>
  <c r="AS65" i="23" s="1"/>
  <c r="AP90" i="23"/>
  <c r="AS90" i="23" s="1"/>
  <c r="AP43" i="23"/>
  <c r="AS43" i="23" s="1"/>
  <c r="AP38" i="23"/>
  <c r="AS38" i="23" s="1"/>
  <c r="AP19" i="23"/>
  <c r="AS19" i="23" s="1"/>
  <c r="AP12" i="23"/>
  <c r="AS12" i="23" s="1"/>
  <c r="AP97" i="23"/>
  <c r="AS97" i="23" s="1"/>
  <c r="AP13" i="23"/>
  <c r="AS13" i="23" s="1"/>
  <c r="AP58" i="23"/>
  <c r="AS58" i="23" s="1"/>
  <c r="AP39" i="23"/>
  <c r="AS39" i="23" s="1"/>
  <c r="AP32" i="23"/>
  <c r="AS32" i="23" s="1"/>
  <c r="AP29" i="23"/>
  <c r="AS29" i="23" s="1"/>
  <c r="AP30" i="23"/>
  <c r="AS30" i="23" s="1"/>
  <c r="AP85" i="23"/>
  <c r="AS85" i="23" s="1"/>
  <c r="AP57" i="23"/>
  <c r="AS57" i="23" s="1"/>
  <c r="AP50" i="23"/>
  <c r="AS50" i="23" s="1"/>
  <c r="AP66" i="23"/>
  <c r="AS66" i="23" s="1"/>
  <c r="AP62" i="23"/>
  <c r="AS62" i="23" s="1"/>
  <c r="AP73" i="23"/>
  <c r="AS73" i="23" s="1"/>
  <c r="AP54" i="23"/>
  <c r="AS54" i="23" s="1"/>
  <c r="AP35" i="23"/>
  <c r="AS35" i="23" s="1"/>
  <c r="AP28" i="23"/>
  <c r="AS28" i="23" s="1"/>
  <c r="AP18" i="23"/>
  <c r="AS18" i="23" s="1"/>
  <c r="AP24" i="23"/>
  <c r="AS24" i="23" s="1"/>
  <c r="AP74" i="23"/>
  <c r="AS74" i="23" s="1"/>
  <c r="AP55" i="23"/>
  <c r="AS55" i="23" s="1"/>
  <c r="AP48" i="23"/>
  <c r="AS48" i="23" s="1"/>
  <c r="AP47" i="23"/>
  <c r="AS47" i="23" s="1"/>
  <c r="AP46" i="23"/>
  <c r="AS46" i="23" s="1"/>
  <c r="AP11" i="23"/>
  <c r="AS11" i="23" s="1"/>
  <c r="AP20" i="23"/>
  <c r="AS20" i="23" s="1"/>
  <c r="AP61" i="23"/>
  <c r="AS61" i="23" s="1"/>
  <c r="AP44" i="23"/>
  <c r="AS44" i="23" s="1"/>
  <c r="AP36" i="23"/>
  <c r="AS36" i="23" s="1"/>
  <c r="AP72" i="23"/>
  <c r="AS72" i="23" s="1"/>
  <c r="AP70" i="23"/>
  <c r="AS70" i="23" s="1"/>
  <c r="AP51" i="23"/>
  <c r="AS51" i="23" s="1"/>
  <c r="AP56" i="23"/>
  <c r="AS56" i="23" s="1"/>
  <c r="AP95" i="23"/>
  <c r="AS95" i="23" s="1"/>
  <c r="AP86" i="23"/>
  <c r="AS86" i="23" s="1"/>
  <c r="AP67" i="23"/>
  <c r="AS67" i="23" s="1"/>
  <c r="AP60" i="23"/>
  <c r="AS60" i="23" s="1"/>
  <c r="AP98" i="23"/>
  <c r="AS98" i="23" s="1"/>
  <c r="AP104" i="23"/>
  <c r="AS104" i="23" s="1"/>
  <c r="AP106" i="23"/>
  <c r="AS106" i="23" s="1"/>
  <c r="AP78" i="23"/>
  <c r="AS78" i="23" s="1"/>
  <c r="AP102" i="23"/>
  <c r="AS102" i="23" s="1"/>
  <c r="AP83" i="23"/>
  <c r="AS83" i="23" s="1"/>
  <c r="AP76" i="23"/>
  <c r="AS76" i="23" s="1"/>
  <c r="AP93" i="23"/>
  <c r="AS93" i="23" s="1"/>
  <c r="AP81" i="23"/>
  <c r="AS81" i="23" s="1"/>
  <c r="AP45" i="23"/>
  <c r="AS45" i="23" s="1"/>
  <c r="AP103" i="23"/>
  <c r="AS103" i="23" s="1"/>
  <c r="AP96" i="23"/>
  <c r="AS96" i="23" s="1"/>
  <c r="AP40" i="23"/>
  <c r="AS40" i="23" s="1"/>
  <c r="AP94" i="23"/>
  <c r="AS94" i="23" s="1"/>
  <c r="AP59" i="23"/>
  <c r="AS59" i="23" s="1"/>
  <c r="AP68" i="23"/>
  <c r="AS68" i="23" s="1"/>
  <c r="AP71" i="23"/>
  <c r="AS71" i="23" s="1"/>
  <c r="AP31" i="23"/>
  <c r="AS31" i="23" s="1"/>
  <c r="AP80" i="23"/>
  <c r="AS80" i="23" s="1"/>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B322" i="2"/>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40" i="2"/>
  <c r="B53" i="2"/>
  <c r="B57" i="2" s="1"/>
  <c r="B32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B39" i="23"/>
  <c r="B77" i="23"/>
  <c r="AQ18" i="23"/>
  <c r="AQ50" i="23"/>
  <c r="AQ82" i="23"/>
  <c r="AQ13" i="23"/>
  <c r="AQ77" i="23"/>
  <c r="AQ57" i="23"/>
  <c r="AQ76" i="23"/>
  <c r="AQ71" i="23"/>
  <c r="AQ102" i="23"/>
  <c r="AQ64" i="23"/>
  <c r="AQ59" i="23"/>
  <c r="AQ40" i="23"/>
  <c r="AQ67" i="23"/>
  <c r="AQ34" i="23"/>
  <c r="AQ61" i="23"/>
  <c r="AQ89" i="23"/>
  <c r="AQ23" i="23"/>
  <c r="AQ62" i="23"/>
  <c r="AQ80" i="23"/>
  <c r="AQ107" i="23"/>
  <c r="AQ26" i="23"/>
  <c r="AQ58" i="23"/>
  <c r="AQ90" i="23"/>
  <c r="AQ21" i="23"/>
  <c r="AQ53" i="23"/>
  <c r="AQ85" i="23"/>
  <c r="AQ14" i="23"/>
  <c r="AQ109" i="23"/>
  <c r="AQ73" i="23"/>
  <c r="AQ20" i="23"/>
  <c r="AQ52" i="23"/>
  <c r="AQ84" i="23"/>
  <c r="AQ15" i="23"/>
  <c r="AQ47" i="23"/>
  <c r="AQ79" i="23"/>
  <c r="AQ22" i="23"/>
  <c r="AQ54" i="23"/>
  <c r="AQ17" i="23"/>
  <c r="AQ105" i="23"/>
  <c r="AQ72" i="23"/>
  <c r="AQ35" i="23"/>
  <c r="AQ98" i="23"/>
  <c r="AQ70" i="23"/>
  <c r="AQ60" i="23"/>
  <c r="AQ87" i="23"/>
  <c r="AQ16" i="23"/>
  <c r="AQ43" i="23"/>
  <c r="AQ10" i="23"/>
  <c r="AQ42" i="23"/>
  <c r="AQ74" i="23"/>
  <c r="AQ106" i="23"/>
  <c r="AQ37" i="23"/>
  <c r="AQ69" i="23"/>
  <c r="AQ101" i="23"/>
  <c r="AQ86" i="23"/>
  <c r="AQ41" i="23"/>
  <c r="AQ97" i="23"/>
  <c r="AQ36" i="23"/>
  <c r="AQ68" i="23"/>
  <c r="AQ100" i="23"/>
  <c r="AQ31" i="23"/>
  <c r="AQ63" i="23"/>
  <c r="AQ95" i="23"/>
  <c r="AQ38" i="23"/>
  <c r="AQ78" i="23"/>
  <c r="AQ49" i="23"/>
  <c r="AQ24" i="23"/>
  <c r="AQ56" i="23"/>
  <c r="AQ88" i="23"/>
  <c r="AQ19" i="23"/>
  <c r="AQ51" i="23"/>
  <c r="AQ83" i="23"/>
  <c r="AQ65" i="23"/>
  <c r="AQ45" i="23"/>
  <c r="AQ9" i="23"/>
  <c r="AQ94" i="23"/>
  <c r="AQ12" i="23"/>
  <c r="AQ44" i="23"/>
  <c r="AQ108" i="23"/>
  <c r="AQ39" i="23"/>
  <c r="AQ103" i="23"/>
  <c r="AQ46" i="23"/>
  <c r="AQ81" i="23"/>
  <c r="AQ32" i="23"/>
  <c r="AQ96" i="23"/>
  <c r="AQ27" i="23"/>
  <c r="AQ91" i="23"/>
  <c r="AQ104" i="23"/>
  <c r="AQ99" i="23"/>
  <c r="AQ66" i="23"/>
  <c r="AQ29" i="23"/>
  <c r="AQ93" i="23"/>
  <c r="AQ25" i="23"/>
  <c r="AQ28" i="23"/>
  <c r="AQ92" i="23"/>
  <c r="AQ55" i="23"/>
  <c r="AQ30" i="23"/>
  <c r="AQ33" i="23"/>
  <c r="AQ48" i="23"/>
  <c r="AQ11" i="23"/>
  <c r="AQ75" i="23"/>
  <c r="M9" i="23"/>
  <c r="M50" i="23"/>
  <c r="N50" i="23" s="1"/>
  <c r="M40" i="23"/>
  <c r="N40" i="23" s="1"/>
  <c r="M88" i="23"/>
  <c r="N88" i="23" s="1"/>
  <c r="M39" i="23"/>
  <c r="N39" i="23" s="1"/>
  <c r="M36" i="23"/>
  <c r="N36" i="23" s="1"/>
  <c r="M100" i="23"/>
  <c r="N100" i="23" s="1"/>
  <c r="M68" i="23"/>
  <c r="N68" i="23" s="1"/>
  <c r="M67" i="23"/>
  <c r="N67" i="23" s="1"/>
  <c r="M23" i="23"/>
  <c r="N23" i="23" s="1"/>
  <c r="M59" i="23"/>
  <c r="N59" i="23" s="1"/>
  <c r="M17" i="23"/>
  <c r="N17" i="23" s="1"/>
  <c r="M33" i="23"/>
  <c r="N33" i="23" s="1"/>
  <c r="M62" i="23"/>
  <c r="N62" i="23" s="1"/>
  <c r="M63" i="23"/>
  <c r="N63" i="23" s="1"/>
  <c r="M25" i="23"/>
  <c r="N25" i="23" s="1"/>
  <c r="M12" i="23"/>
  <c r="N12" i="23" s="1"/>
  <c r="M94" i="23"/>
  <c r="N94" i="23" s="1"/>
  <c r="M95" i="23"/>
  <c r="N95" i="23" s="1"/>
  <c r="M92" i="23"/>
  <c r="N92" i="23" s="1"/>
  <c r="M78" i="23"/>
  <c r="N78" i="23" s="1"/>
  <c r="M77" i="23"/>
  <c r="N77" i="23" s="1"/>
  <c r="M43" i="23"/>
  <c r="N43" i="23" s="1"/>
  <c r="M37" i="23"/>
  <c r="N37" i="23" s="1"/>
  <c r="M74" i="23"/>
  <c r="N74" i="23" s="1"/>
  <c r="M55" i="23"/>
  <c r="N55" i="23" s="1"/>
  <c r="M65" i="23"/>
  <c r="N65" i="23" s="1"/>
  <c r="M107" i="23"/>
  <c r="N107" i="23" s="1"/>
  <c r="M41" i="23"/>
  <c r="N41" i="23" s="1"/>
  <c r="M38" i="23"/>
  <c r="N38" i="23" s="1"/>
  <c r="M13" i="23"/>
  <c r="N13" i="23" s="1"/>
  <c r="M29" i="23"/>
  <c r="N29" i="23" s="1"/>
  <c r="M49" i="23"/>
  <c r="N49" i="23" s="1"/>
  <c r="M21" i="23"/>
  <c r="N21" i="23" s="1"/>
  <c r="M105" i="23"/>
  <c r="N105" i="23" s="1"/>
  <c r="M85" i="23"/>
  <c r="N85" i="23" s="1"/>
  <c r="M53" i="23"/>
  <c r="N53" i="23" s="1"/>
  <c r="M18" i="23"/>
  <c r="N18" i="23" s="1"/>
  <c r="M27" i="23"/>
  <c r="N27" i="23" s="1"/>
  <c r="M42" i="23"/>
  <c r="N42" i="23" s="1"/>
  <c r="M104" i="23"/>
  <c r="N104" i="23" s="1"/>
  <c r="M72" i="23"/>
  <c r="N72" i="23" s="1"/>
  <c r="M103" i="23"/>
  <c r="N103" i="23" s="1"/>
  <c r="M71" i="23"/>
  <c r="N71" i="23" s="1"/>
  <c r="M20" i="23"/>
  <c r="N20" i="23" s="1"/>
  <c r="M84" i="23"/>
  <c r="N84" i="23" s="1"/>
  <c r="M52" i="23"/>
  <c r="N52" i="23" s="1"/>
  <c r="M102" i="23"/>
  <c r="N102" i="23" s="1"/>
  <c r="M83" i="23"/>
  <c r="N83" i="23" s="1"/>
  <c r="M51" i="23"/>
  <c r="N51" i="23" s="1"/>
  <c r="M81" i="23"/>
  <c r="N81" i="23" s="1"/>
  <c r="M108" i="23"/>
  <c r="N108" i="23" s="1"/>
  <c r="M57" i="23"/>
  <c r="N57" i="23" s="1"/>
  <c r="M11" i="23"/>
  <c r="N11" i="23" s="1"/>
  <c r="M26" i="23"/>
  <c r="N26" i="23" s="1"/>
  <c r="M79" i="23"/>
  <c r="N79" i="23" s="1"/>
  <c r="M46" i="23"/>
  <c r="N46" i="23" s="1"/>
  <c r="M28" i="23"/>
  <c r="N28" i="23" s="1"/>
  <c r="M91" i="23"/>
  <c r="N91" i="23" s="1"/>
  <c r="M61" i="23"/>
  <c r="N61" i="23" s="1"/>
  <c r="M22" i="23"/>
  <c r="N22" i="23" s="1"/>
  <c r="M34" i="23"/>
  <c r="N34" i="23" s="1"/>
  <c r="M15" i="23"/>
  <c r="N15" i="23" s="1"/>
  <c r="M35" i="23"/>
  <c r="N35" i="23" s="1"/>
  <c r="M90" i="23"/>
  <c r="N90" i="23" s="1"/>
  <c r="M45" i="23"/>
  <c r="N45" i="23" s="1"/>
  <c r="M75" i="23"/>
  <c r="N75" i="23" s="1"/>
  <c r="M73" i="23"/>
  <c r="N73" i="23" s="1"/>
  <c r="M82" i="23"/>
  <c r="N82" i="23" s="1"/>
  <c r="M31" i="23"/>
  <c r="N31" i="23" s="1"/>
  <c r="M70" i="23"/>
  <c r="N70" i="23" s="1"/>
  <c r="M99" i="23"/>
  <c r="N99" i="23" s="1"/>
  <c r="M48" i="23"/>
  <c r="N48" i="23" s="1"/>
  <c r="M10" i="23"/>
  <c r="N10" i="23" s="1"/>
  <c r="M106" i="23"/>
  <c r="N106" i="23" s="1"/>
  <c r="M101" i="23"/>
  <c r="N101" i="23" s="1"/>
  <c r="M69" i="23"/>
  <c r="N69" i="23" s="1"/>
  <c r="M96" i="23"/>
  <c r="N96" i="23" s="1"/>
  <c r="M64" i="23"/>
  <c r="N64" i="23" s="1"/>
  <c r="M44" i="23"/>
  <c r="N44" i="23" s="1"/>
  <c r="G234" i="2"/>
  <c r="B58" i="21"/>
  <c r="AL9" i="21"/>
  <c r="B37" i="21"/>
  <c r="M9" i="21"/>
  <c r="N9" i="21" s="1"/>
  <c r="D52" i="2"/>
  <c r="D56" i="2" s="1"/>
  <c r="D192" i="2"/>
  <c r="B188" i="2"/>
  <c r="B187" i="2"/>
  <c r="B118" i="2"/>
  <c r="B37" i="2"/>
  <c r="D37" i="2"/>
  <c r="B68" i="23" s="1"/>
  <c r="B21" i="2"/>
  <c r="B388"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28" i="2"/>
  <c r="B351" i="2"/>
  <c r="A340" i="2"/>
  <c r="B340" i="2"/>
  <c r="B49" i="2"/>
  <c r="B239" i="2"/>
  <c r="N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206" i="2"/>
  <c r="B16" i="2"/>
  <c r="B34" i="2"/>
  <c r="B349" i="2"/>
  <c r="N4" i="8"/>
  <c r="O4" i="8" s="1"/>
  <c r="E13" i="1" s="1"/>
  <c r="O10" i="8"/>
  <c r="F66" i="1"/>
  <c r="B257"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O22" i="8" s="1"/>
  <c r="E56" i="1"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72" i="2"/>
  <c r="B221" i="2"/>
  <c r="B161"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M54" i="23" l="1"/>
  <c r="N54" i="23" s="1"/>
  <c r="O54" i="23" s="1"/>
  <c r="M66" i="23"/>
  <c r="N66" i="23" s="1"/>
  <c r="O66" i="23" s="1"/>
  <c r="M98" i="23"/>
  <c r="N98" i="23" s="1"/>
  <c r="O98" i="23" s="1"/>
  <c r="M80" i="23"/>
  <c r="N80" i="23" s="1"/>
  <c r="O80" i="23" s="1"/>
  <c r="M89" i="23"/>
  <c r="N89" i="23" s="1"/>
  <c r="P89" i="23" s="1"/>
  <c r="Q89" i="23" s="1"/>
  <c r="AE89" i="23" s="1"/>
  <c r="M24" i="23"/>
  <c r="N24" i="23" s="1"/>
  <c r="O24" i="23" s="1"/>
  <c r="M97" i="23"/>
  <c r="N97" i="23" s="1"/>
  <c r="O97" i="23" s="1"/>
  <c r="B52" i="2"/>
  <c r="B56" i="2" s="1"/>
  <c r="M60" i="23"/>
  <c r="N60" i="23" s="1"/>
  <c r="O60" i="23" s="1"/>
  <c r="M87" i="23"/>
  <c r="N87" i="23" s="1"/>
  <c r="P87" i="23" s="1"/>
  <c r="Q87" i="23" s="1"/>
  <c r="AE87" i="23" s="1"/>
  <c r="B54" i="2"/>
  <c r="B58" i="2" s="1"/>
  <c r="B154" i="2" s="1"/>
  <c r="M16" i="23"/>
  <c r="N16" i="23" s="1"/>
  <c r="O16" i="23" s="1"/>
  <c r="M86" i="23"/>
  <c r="N86" i="23" s="1"/>
  <c r="P86" i="23" s="1"/>
  <c r="Q86" i="23" s="1"/>
  <c r="AE86" i="23" s="1"/>
  <c r="M93" i="23"/>
  <c r="N93" i="23" s="1"/>
  <c r="V93" i="23" s="1"/>
  <c r="M109" i="23"/>
  <c r="N109" i="23" s="1"/>
  <c r="P109" i="23" s="1"/>
  <c r="Q109" i="23" s="1"/>
  <c r="AE109" i="23" s="1"/>
  <c r="M76" i="23"/>
  <c r="N76" i="23" s="1"/>
  <c r="AF76" i="23" s="1"/>
  <c r="M58" i="23"/>
  <c r="N58" i="23" s="1"/>
  <c r="O58" i="23" s="1"/>
  <c r="M32" i="23"/>
  <c r="N32" i="23" s="1"/>
  <c r="P32" i="23" s="1"/>
  <c r="Q32" i="23" s="1"/>
  <c r="AE32" i="23" s="1"/>
  <c r="M14" i="23"/>
  <c r="N14" i="23" s="1"/>
  <c r="P14" i="23" s="1"/>
  <c r="Q14" i="23" s="1"/>
  <c r="AE14" i="23" s="1"/>
  <c r="M19" i="23"/>
  <c r="N19" i="23" s="1"/>
  <c r="O19" i="23" s="1"/>
  <c r="M47" i="23"/>
  <c r="N47" i="23" s="1"/>
  <c r="P47" i="23" s="1"/>
  <c r="Q47" i="23" s="1"/>
  <c r="AE47" i="23" s="1"/>
  <c r="M30" i="23"/>
  <c r="N30" i="23" s="1"/>
  <c r="O30" i="23" s="1"/>
  <c r="C65" i="16"/>
  <c r="D65" i="16" s="1"/>
  <c r="B95" i="2"/>
  <c r="E20" i="1" s="1"/>
  <c r="C64" i="16"/>
  <c r="B183" i="2"/>
  <c r="B42" i="2"/>
  <c r="B44" i="2" s="1"/>
  <c r="E27" i="1" s="1"/>
  <c r="D63" i="2"/>
  <c r="D197" i="2"/>
  <c r="F6" i="25" s="1"/>
  <c r="D194" i="2"/>
  <c r="O48" i="23"/>
  <c r="P48" i="23"/>
  <c r="Q48" i="23" s="1"/>
  <c r="AE48" i="23" s="1"/>
  <c r="O18" i="23"/>
  <c r="P18" i="23"/>
  <c r="Q18" i="23" s="1"/>
  <c r="AE18" i="23" s="1"/>
  <c r="P92" i="23"/>
  <c r="Q92" i="23" s="1"/>
  <c r="AE92" i="23" s="1"/>
  <c r="O92" i="23"/>
  <c r="O64" i="23"/>
  <c r="P64" i="23"/>
  <c r="Q64" i="23" s="1"/>
  <c r="AE64" i="23" s="1"/>
  <c r="P90" i="23"/>
  <c r="Q90" i="23" s="1"/>
  <c r="AE90" i="23" s="1"/>
  <c r="O90" i="23"/>
  <c r="P28" i="23"/>
  <c r="Q28" i="23" s="1"/>
  <c r="AE28" i="23" s="1"/>
  <c r="O28" i="23"/>
  <c r="O81" i="23"/>
  <c r="P81" i="23"/>
  <c r="Q81" i="23" s="1"/>
  <c r="AE81" i="23" s="1"/>
  <c r="O71" i="23"/>
  <c r="P71" i="23"/>
  <c r="Q71" i="23" s="1"/>
  <c r="AE71" i="23" s="1"/>
  <c r="P53" i="23"/>
  <c r="Q53" i="23" s="1"/>
  <c r="AE53" i="23" s="1"/>
  <c r="O53" i="23"/>
  <c r="O13" i="23"/>
  <c r="P13" i="23"/>
  <c r="Q13" i="23" s="1"/>
  <c r="AE13" i="23" s="1"/>
  <c r="P74" i="23"/>
  <c r="Q74" i="23" s="1"/>
  <c r="AE74" i="23" s="1"/>
  <c r="O74" i="23"/>
  <c r="P95" i="23"/>
  <c r="Q95" i="23" s="1"/>
  <c r="AE95" i="23" s="1"/>
  <c r="O95" i="23"/>
  <c r="P33" i="23"/>
  <c r="Q33" i="23" s="1"/>
  <c r="AE33" i="23" s="1"/>
  <c r="O33" i="23"/>
  <c r="O68" i="23"/>
  <c r="P68" i="23"/>
  <c r="Q68" i="23" s="1"/>
  <c r="AE68" i="23" s="1"/>
  <c r="P40" i="23"/>
  <c r="Q40" i="23" s="1"/>
  <c r="AE40" i="23" s="1"/>
  <c r="O40" i="23"/>
  <c r="O75" i="23"/>
  <c r="P75" i="23"/>
  <c r="Q75" i="23" s="1"/>
  <c r="AE75" i="23" s="1"/>
  <c r="O108" i="23"/>
  <c r="P108" i="23"/>
  <c r="Q108" i="23" s="1"/>
  <c r="AE108" i="23" s="1"/>
  <c r="O67" i="23"/>
  <c r="P67" i="23"/>
  <c r="Q67" i="23" s="1"/>
  <c r="AE67" i="23" s="1"/>
  <c r="P99" i="23"/>
  <c r="Q99" i="23" s="1"/>
  <c r="AE99" i="23" s="1"/>
  <c r="O99" i="23"/>
  <c r="P96" i="23"/>
  <c r="Q96" i="23" s="1"/>
  <c r="AE96" i="23" s="1"/>
  <c r="O96" i="23"/>
  <c r="O70" i="23"/>
  <c r="P70" i="23"/>
  <c r="Q70" i="23" s="1"/>
  <c r="AE70" i="23" s="1"/>
  <c r="O35" i="23"/>
  <c r="P35" i="23"/>
  <c r="Q35" i="23" s="1"/>
  <c r="AE35" i="23" s="1"/>
  <c r="P46" i="23"/>
  <c r="Q46" i="23" s="1"/>
  <c r="AE46" i="23" s="1"/>
  <c r="O46" i="23"/>
  <c r="O51" i="23"/>
  <c r="P51" i="23"/>
  <c r="Q51" i="23" s="1"/>
  <c r="AE51" i="23" s="1"/>
  <c r="O103" i="23"/>
  <c r="P103" i="23"/>
  <c r="Q103" i="23" s="1"/>
  <c r="AE103" i="23" s="1"/>
  <c r="P85" i="23"/>
  <c r="Q85" i="23" s="1"/>
  <c r="AE85" i="23" s="1"/>
  <c r="O85" i="23"/>
  <c r="O38" i="23"/>
  <c r="P38" i="23"/>
  <c r="Q38" i="23" s="1"/>
  <c r="AE38" i="23" s="1"/>
  <c r="O37" i="23"/>
  <c r="P37" i="23"/>
  <c r="Q37" i="23" s="1"/>
  <c r="AE37" i="23" s="1"/>
  <c r="O94" i="23"/>
  <c r="P94" i="23"/>
  <c r="Q94" i="23" s="1"/>
  <c r="AE94" i="23" s="1"/>
  <c r="O17" i="23"/>
  <c r="P17" i="23"/>
  <c r="Q17" i="23" s="1"/>
  <c r="AE17" i="23" s="1"/>
  <c r="O100" i="23"/>
  <c r="P100" i="23"/>
  <c r="Q100" i="23" s="1"/>
  <c r="AE100" i="23" s="1"/>
  <c r="O50" i="23"/>
  <c r="P50" i="23"/>
  <c r="Q50" i="23" s="1"/>
  <c r="AE50" i="23" s="1"/>
  <c r="O10" i="23"/>
  <c r="P10" i="23"/>
  <c r="Q10" i="23" s="1"/>
  <c r="AE10" i="23" s="1"/>
  <c r="O91" i="23"/>
  <c r="P91" i="23"/>
  <c r="Q91" i="23" s="1"/>
  <c r="AE91" i="23" s="1"/>
  <c r="O88" i="23"/>
  <c r="P88" i="23"/>
  <c r="Q88" i="23" s="1"/>
  <c r="AE88" i="23" s="1"/>
  <c r="P15" i="23"/>
  <c r="Q15" i="23" s="1"/>
  <c r="AE15" i="23" s="1"/>
  <c r="O15" i="23"/>
  <c r="O72" i="23"/>
  <c r="P72" i="23"/>
  <c r="Q72" i="23" s="1"/>
  <c r="AE72" i="23" s="1"/>
  <c r="P54" i="23"/>
  <c r="Q54" i="23" s="1"/>
  <c r="AE54" i="23" s="1"/>
  <c r="P66" i="23"/>
  <c r="Q66" i="23" s="1"/>
  <c r="AE66" i="23" s="1"/>
  <c r="P44" i="23"/>
  <c r="Q44" i="23" s="1"/>
  <c r="AE44" i="23" s="1"/>
  <c r="O44" i="23"/>
  <c r="O20" i="23"/>
  <c r="P20" i="23"/>
  <c r="Q20" i="23" s="1"/>
  <c r="AE20" i="23" s="1"/>
  <c r="P62" i="23"/>
  <c r="Q62" i="23" s="1"/>
  <c r="AE62" i="23" s="1"/>
  <c r="O62" i="23"/>
  <c r="O31" i="23"/>
  <c r="P31" i="23"/>
  <c r="Q31" i="23" s="1"/>
  <c r="AE31" i="23" s="1"/>
  <c r="O83" i="23"/>
  <c r="P83" i="23"/>
  <c r="Q83" i="23" s="1"/>
  <c r="AE83" i="23" s="1"/>
  <c r="O101" i="23"/>
  <c r="P101" i="23"/>
  <c r="Q101" i="23" s="1"/>
  <c r="AE101" i="23" s="1"/>
  <c r="O82" i="23"/>
  <c r="P82" i="23"/>
  <c r="Q82" i="23" s="1"/>
  <c r="AE82" i="23" s="1"/>
  <c r="O34" i="23"/>
  <c r="P34" i="23"/>
  <c r="Q34" i="23" s="1"/>
  <c r="AE34" i="23" s="1"/>
  <c r="O26" i="23"/>
  <c r="P26" i="23"/>
  <c r="Q26" i="23" s="1"/>
  <c r="AE26" i="23" s="1"/>
  <c r="O102" i="23"/>
  <c r="P102" i="23"/>
  <c r="Q102" i="23" s="1"/>
  <c r="AE102" i="23" s="1"/>
  <c r="P104" i="23"/>
  <c r="Q104" i="23" s="1"/>
  <c r="AE104" i="23" s="1"/>
  <c r="O104" i="23"/>
  <c r="O105" i="23"/>
  <c r="P105" i="23"/>
  <c r="Q105" i="23" s="1"/>
  <c r="AE105" i="23" s="1"/>
  <c r="P41" i="23"/>
  <c r="Q41" i="23" s="1"/>
  <c r="AE41" i="23" s="1"/>
  <c r="O41" i="23"/>
  <c r="O43" i="23"/>
  <c r="P43" i="23"/>
  <c r="Q43" i="23" s="1"/>
  <c r="AE43" i="23" s="1"/>
  <c r="O12" i="23"/>
  <c r="P12" i="23"/>
  <c r="Q12" i="23" s="1"/>
  <c r="AE12" i="23" s="1"/>
  <c r="O59" i="23"/>
  <c r="P59" i="23"/>
  <c r="Q59" i="23" s="1"/>
  <c r="AE59" i="23" s="1"/>
  <c r="O36" i="23"/>
  <c r="P36" i="23"/>
  <c r="Q36" i="23" s="1"/>
  <c r="AE36" i="23" s="1"/>
  <c r="P45" i="23"/>
  <c r="Q45" i="23" s="1"/>
  <c r="AE45" i="23" s="1"/>
  <c r="O45" i="23"/>
  <c r="O29" i="23"/>
  <c r="P29" i="23"/>
  <c r="Q29" i="23" s="1"/>
  <c r="AE29" i="23" s="1"/>
  <c r="O55" i="23"/>
  <c r="P55" i="23"/>
  <c r="Q55" i="23" s="1"/>
  <c r="AE55" i="23" s="1"/>
  <c r="O69" i="23"/>
  <c r="P69" i="23"/>
  <c r="Q69" i="23" s="1"/>
  <c r="AE69" i="23" s="1"/>
  <c r="P79" i="23"/>
  <c r="Q79" i="23" s="1"/>
  <c r="AE79" i="23" s="1"/>
  <c r="O79" i="23"/>
  <c r="O106" i="23"/>
  <c r="P106" i="23"/>
  <c r="Q106" i="23" s="1"/>
  <c r="AE106" i="23" s="1"/>
  <c r="O73" i="23"/>
  <c r="P73" i="23"/>
  <c r="Q73" i="23" s="1"/>
  <c r="AE73" i="23" s="1"/>
  <c r="P22" i="23"/>
  <c r="Q22" i="23" s="1"/>
  <c r="AE22" i="23" s="1"/>
  <c r="O22" i="23"/>
  <c r="O11" i="23"/>
  <c r="P11" i="23"/>
  <c r="Q11" i="23" s="1"/>
  <c r="AE11" i="23" s="1"/>
  <c r="O52" i="23"/>
  <c r="P52" i="23"/>
  <c r="Q52" i="23" s="1"/>
  <c r="AE52" i="23" s="1"/>
  <c r="O42" i="23"/>
  <c r="P42" i="23"/>
  <c r="Q42" i="23" s="1"/>
  <c r="AE42" i="23" s="1"/>
  <c r="P21" i="23"/>
  <c r="Q21" i="23" s="1"/>
  <c r="AE21" i="23" s="1"/>
  <c r="O21" i="23"/>
  <c r="O107" i="23"/>
  <c r="P107" i="23"/>
  <c r="Q107" i="23" s="1"/>
  <c r="AE107" i="23" s="1"/>
  <c r="P77" i="23"/>
  <c r="Q77" i="23" s="1"/>
  <c r="AE77" i="23" s="1"/>
  <c r="O77" i="23"/>
  <c r="O25" i="23"/>
  <c r="P25" i="23"/>
  <c r="Q25" i="23" s="1"/>
  <c r="AE25" i="23" s="1"/>
  <c r="P61" i="23"/>
  <c r="Q61" i="23" s="1"/>
  <c r="AE61" i="23" s="1"/>
  <c r="O61" i="23"/>
  <c r="P57" i="23"/>
  <c r="Q57" i="23" s="1"/>
  <c r="AE57" i="23" s="1"/>
  <c r="O57" i="23"/>
  <c r="O84" i="23"/>
  <c r="P84" i="23"/>
  <c r="Q84" i="23" s="1"/>
  <c r="AE84" i="23" s="1"/>
  <c r="P27" i="23"/>
  <c r="Q27" i="23" s="1"/>
  <c r="AE27" i="23" s="1"/>
  <c r="O27" i="23"/>
  <c r="P49" i="23"/>
  <c r="Q49" i="23" s="1"/>
  <c r="AE49" i="23" s="1"/>
  <c r="O49" i="23"/>
  <c r="O65" i="23"/>
  <c r="P65" i="23"/>
  <c r="Q65" i="23" s="1"/>
  <c r="AE65" i="23" s="1"/>
  <c r="O78" i="23"/>
  <c r="P78" i="23"/>
  <c r="Q78" i="23" s="1"/>
  <c r="AE78" i="23" s="1"/>
  <c r="P63" i="23"/>
  <c r="Q63" i="23" s="1"/>
  <c r="AE63" i="23" s="1"/>
  <c r="O63" i="23"/>
  <c r="O23" i="23"/>
  <c r="P23" i="23"/>
  <c r="Q23" i="23" s="1"/>
  <c r="AE23" i="23" s="1"/>
  <c r="P39" i="23"/>
  <c r="Q39" i="23" s="1"/>
  <c r="AE39" i="23" s="1"/>
  <c r="O39" i="23"/>
  <c r="O32" i="23"/>
  <c r="O56" i="23"/>
  <c r="P56" i="23"/>
  <c r="Q56" i="23" s="1"/>
  <c r="AE56" i="23" s="1"/>
  <c r="M131" i="2"/>
  <c r="D131" i="2"/>
  <c r="K131" i="2"/>
  <c r="K134" i="2" s="1"/>
  <c r="B68" i="2"/>
  <c r="P9" i="21"/>
  <c r="Q9" i="21" s="1"/>
  <c r="AE9" i="21" s="1"/>
  <c r="O9" i="21"/>
  <c r="B323" i="2"/>
  <c r="B324" i="2" s="1"/>
  <c r="E104" i="1" s="1"/>
  <c r="E103" i="1"/>
  <c r="F613" i="25"/>
  <c r="F611" i="25"/>
  <c r="C633" i="25"/>
  <c r="E613" i="25"/>
  <c r="E611" i="25"/>
  <c r="E609" i="25"/>
  <c r="A623" i="25"/>
  <c r="E612" i="25"/>
  <c r="E610" i="25"/>
  <c r="E608" i="25"/>
  <c r="E605" i="25"/>
  <c r="E603" i="25"/>
  <c r="E601" i="25"/>
  <c r="E599" i="25"/>
  <c r="E597" i="25"/>
  <c r="F610" i="25"/>
  <c r="F608" i="25"/>
  <c r="F607" i="25"/>
  <c r="F606" i="25"/>
  <c r="F604" i="25"/>
  <c r="F602" i="25"/>
  <c r="F600" i="25"/>
  <c r="F598" i="25"/>
  <c r="F605" i="25"/>
  <c r="F603" i="25"/>
  <c r="F601" i="25"/>
  <c r="F599" i="25"/>
  <c r="F597" i="25"/>
  <c r="F595" i="25"/>
  <c r="F593" i="25"/>
  <c r="E607" i="25"/>
  <c r="E604" i="25"/>
  <c r="E594" i="25"/>
  <c r="F592" i="25"/>
  <c r="F590" i="25"/>
  <c r="F588" i="25"/>
  <c r="F586" i="25"/>
  <c r="F612" i="25"/>
  <c r="E606" i="25"/>
  <c r="E598" i="25"/>
  <c r="E592" i="25"/>
  <c r="E590" i="25"/>
  <c r="E588" i="25"/>
  <c r="E586" i="25"/>
  <c r="E584" i="25"/>
  <c r="E602" i="25"/>
  <c r="E596" i="25"/>
  <c r="F594" i="25"/>
  <c r="E593" i="25"/>
  <c r="E591" i="25"/>
  <c r="E589" i="25"/>
  <c r="E587" i="25"/>
  <c r="E585" i="25"/>
  <c r="E583" i="25"/>
  <c r="E581" i="25"/>
  <c r="E579" i="25"/>
  <c r="F609" i="25"/>
  <c r="E600" i="25"/>
  <c r="F591" i="25"/>
  <c r="E582" i="25"/>
  <c r="F581" i="25"/>
  <c r="F580" i="25"/>
  <c r="E577" i="25"/>
  <c r="E575" i="25"/>
  <c r="E573" i="25"/>
  <c r="E571" i="25"/>
  <c r="E569" i="25"/>
  <c r="E567" i="25"/>
  <c r="E565" i="25"/>
  <c r="E563" i="25"/>
  <c r="E561" i="25"/>
  <c r="E559" i="25"/>
  <c r="E557" i="25"/>
  <c r="F585" i="25"/>
  <c r="E580" i="25"/>
  <c r="F579" i="25"/>
  <c r="F578" i="25"/>
  <c r="F576" i="25"/>
  <c r="F574" i="25"/>
  <c r="F572" i="25"/>
  <c r="F570" i="25"/>
  <c r="F568" i="25"/>
  <c r="F566" i="25"/>
  <c r="F596" i="25"/>
  <c r="E595" i="25"/>
  <c r="F589" i="25"/>
  <c r="F584" i="25"/>
  <c r="F583" i="25"/>
  <c r="F582" i="25"/>
  <c r="F577" i="25"/>
  <c r="F575" i="25"/>
  <c r="F573" i="25"/>
  <c r="F571" i="25"/>
  <c r="F569" i="25"/>
  <c r="F567" i="25"/>
  <c r="E576" i="25"/>
  <c r="E568" i="25"/>
  <c r="F565" i="25"/>
  <c r="E560" i="25"/>
  <c r="F559" i="25"/>
  <c r="F558" i="25"/>
  <c r="E556" i="25"/>
  <c r="E554" i="25"/>
  <c r="E552" i="25"/>
  <c r="E550" i="25"/>
  <c r="E548" i="25"/>
  <c r="E546" i="25"/>
  <c r="E544" i="25"/>
  <c r="E542" i="25"/>
  <c r="E540" i="25"/>
  <c r="E538" i="25"/>
  <c r="E536" i="25"/>
  <c r="E534" i="25"/>
  <c r="E532" i="25"/>
  <c r="E530" i="25"/>
  <c r="E528" i="25"/>
  <c r="E526" i="25"/>
  <c r="E570" i="25"/>
  <c r="F564" i="25"/>
  <c r="E558" i="25"/>
  <c r="F557" i="25"/>
  <c r="F555" i="25"/>
  <c r="F553" i="25"/>
  <c r="F551" i="25"/>
  <c r="F549" i="25"/>
  <c r="F547" i="25"/>
  <c r="F545" i="25"/>
  <c r="F543" i="25"/>
  <c r="F541" i="25"/>
  <c r="F539" i="25"/>
  <c r="E578" i="25"/>
  <c r="E574" i="25"/>
  <c r="E566" i="25"/>
  <c r="E562" i="25"/>
  <c r="F561" i="25"/>
  <c r="F560" i="25"/>
  <c r="F556" i="25"/>
  <c r="F554" i="25"/>
  <c r="F552" i="25"/>
  <c r="F550" i="25"/>
  <c r="F548" i="25"/>
  <c r="F546" i="25"/>
  <c r="F544" i="25"/>
  <c r="F542" i="25"/>
  <c r="F540" i="25"/>
  <c r="E572" i="25"/>
  <c r="E549" i="25"/>
  <c r="E541" i="25"/>
  <c r="F538" i="25"/>
  <c r="F537" i="25"/>
  <c r="E531" i="25"/>
  <c r="F530" i="25"/>
  <c r="F529" i="25"/>
  <c r="E564" i="25"/>
  <c r="F563" i="25"/>
  <c r="F562" i="25"/>
  <c r="E551" i="25"/>
  <c r="E543" i="25"/>
  <c r="E537" i="25"/>
  <c r="F536" i="25"/>
  <c r="F535" i="25"/>
  <c r="E529" i="25"/>
  <c r="F528" i="25"/>
  <c r="F527" i="25"/>
  <c r="E524" i="25"/>
  <c r="E555" i="25"/>
  <c r="E547" i="25"/>
  <c r="E539" i="25"/>
  <c r="E533" i="25"/>
  <c r="F532" i="25"/>
  <c r="F531" i="25"/>
  <c r="E525" i="25"/>
  <c r="E523" i="25"/>
  <c r="E521" i="25"/>
  <c r="E519" i="25"/>
  <c r="E517" i="25"/>
  <c r="E515" i="25"/>
  <c r="E513" i="25"/>
  <c r="E553" i="25"/>
  <c r="E527" i="25"/>
  <c r="F526" i="25"/>
  <c r="F525" i="25"/>
  <c r="E518" i="25"/>
  <c r="F517" i="25"/>
  <c r="F516" i="25"/>
  <c r="E510" i="25"/>
  <c r="E508" i="25"/>
  <c r="E506" i="25"/>
  <c r="E504" i="25"/>
  <c r="E502" i="25"/>
  <c r="E500" i="25"/>
  <c r="E498" i="25"/>
  <c r="E496" i="25"/>
  <c r="E494" i="25"/>
  <c r="E492" i="25"/>
  <c r="E490" i="25"/>
  <c r="E488" i="25"/>
  <c r="E486" i="25"/>
  <c r="E484" i="25"/>
  <c r="E482" i="25"/>
  <c r="E480" i="25"/>
  <c r="E478" i="25"/>
  <c r="E476" i="25"/>
  <c r="E474" i="25"/>
  <c r="E472" i="25"/>
  <c r="E470" i="25"/>
  <c r="E468" i="25"/>
  <c r="E466" i="25"/>
  <c r="F587" i="25"/>
  <c r="F524" i="25"/>
  <c r="F523" i="25"/>
  <c r="F522" i="25"/>
  <c r="E516" i="25"/>
  <c r="F515" i="25"/>
  <c r="F514" i="25"/>
  <c r="F511" i="25"/>
  <c r="F509" i="25"/>
  <c r="F507" i="25"/>
  <c r="F505" i="25"/>
  <c r="F503" i="25"/>
  <c r="F501" i="25"/>
  <c r="F499" i="25"/>
  <c r="F497" i="25"/>
  <c r="F495" i="25"/>
  <c r="F493" i="25"/>
  <c r="F491" i="25"/>
  <c r="F489" i="25"/>
  <c r="F487" i="25"/>
  <c r="F485" i="25"/>
  <c r="F483" i="25"/>
  <c r="E545" i="25"/>
  <c r="E535" i="25"/>
  <c r="F534" i="25"/>
  <c r="F533" i="25"/>
  <c r="E520" i="25"/>
  <c r="F519" i="25"/>
  <c r="F518" i="25"/>
  <c r="E512" i="25"/>
  <c r="F510" i="25"/>
  <c r="F508" i="25"/>
  <c r="F506" i="25"/>
  <c r="F504" i="25"/>
  <c r="F502" i="25"/>
  <c r="F500" i="25"/>
  <c r="F498" i="25"/>
  <c r="F496" i="25"/>
  <c r="F494" i="25"/>
  <c r="F492" i="25"/>
  <c r="F490" i="25"/>
  <c r="F488" i="25"/>
  <c r="F486" i="25"/>
  <c r="E509" i="25"/>
  <c r="E501" i="25"/>
  <c r="E493" i="25"/>
  <c r="E485" i="25"/>
  <c r="F482" i="25"/>
  <c r="F481" i="25"/>
  <c r="E475" i="25"/>
  <c r="F474" i="25"/>
  <c r="F473" i="25"/>
  <c r="E467" i="25"/>
  <c r="F466" i="25"/>
  <c r="F465" i="25"/>
  <c r="F463" i="25"/>
  <c r="F461" i="25"/>
  <c r="F459" i="25"/>
  <c r="F457" i="25"/>
  <c r="F455" i="25"/>
  <c r="F453" i="25"/>
  <c r="F451" i="25"/>
  <c r="F449" i="25"/>
  <c r="F447" i="25"/>
  <c r="F445" i="25"/>
  <c r="F443" i="25"/>
  <c r="F441" i="25"/>
  <c r="F439" i="25"/>
  <c r="F437" i="25"/>
  <c r="F435" i="25"/>
  <c r="F433" i="25"/>
  <c r="F431" i="25"/>
  <c r="F429" i="25"/>
  <c r="F427" i="25"/>
  <c r="F425" i="25"/>
  <c r="F423" i="25"/>
  <c r="F421" i="25"/>
  <c r="F419" i="25"/>
  <c r="F417" i="25"/>
  <c r="F415" i="25"/>
  <c r="F413" i="25"/>
  <c r="F411" i="25"/>
  <c r="F409" i="25"/>
  <c r="F407" i="25"/>
  <c r="F405" i="25"/>
  <c r="F403" i="25"/>
  <c r="F401" i="25"/>
  <c r="E511" i="25"/>
  <c r="E503" i="25"/>
  <c r="E495" i="25"/>
  <c r="E487" i="25"/>
  <c r="F484" i="25"/>
  <c r="E481" i="25"/>
  <c r="F480" i="25"/>
  <c r="F479" i="25"/>
  <c r="E473" i="25"/>
  <c r="F472" i="25"/>
  <c r="F471" i="25"/>
  <c r="E465" i="25"/>
  <c r="E463" i="25"/>
  <c r="E461" i="25"/>
  <c r="E459" i="25"/>
  <c r="E457" i="25"/>
  <c r="E455" i="25"/>
  <c r="E453" i="25"/>
  <c r="E451" i="25"/>
  <c r="E449" i="25"/>
  <c r="E447" i="25"/>
  <c r="E445" i="25"/>
  <c r="E443" i="25"/>
  <c r="E441" i="25"/>
  <c r="E439" i="25"/>
  <c r="E437" i="25"/>
  <c r="E435" i="25"/>
  <c r="E433" i="25"/>
  <c r="E431" i="25"/>
  <c r="E429" i="25"/>
  <c r="E514" i="25"/>
  <c r="F513" i="25"/>
  <c r="F512" i="25"/>
  <c r="E507" i="25"/>
  <c r="E499" i="25"/>
  <c r="E491" i="25"/>
  <c r="E483" i="25"/>
  <c r="E477" i="25"/>
  <c r="F476" i="25"/>
  <c r="F475" i="25"/>
  <c r="E469" i="25"/>
  <c r="F468" i="25"/>
  <c r="F467" i="25"/>
  <c r="E464" i="25"/>
  <c r="E462" i="25"/>
  <c r="E460" i="25"/>
  <c r="E458" i="25"/>
  <c r="E456" i="25"/>
  <c r="E454" i="25"/>
  <c r="E452" i="25"/>
  <c r="E450" i="25"/>
  <c r="E448" i="25"/>
  <c r="E446" i="25"/>
  <c r="E444" i="25"/>
  <c r="E442" i="25"/>
  <c r="E440" i="25"/>
  <c r="E438" i="25"/>
  <c r="E436" i="25"/>
  <c r="E434" i="25"/>
  <c r="E432" i="25"/>
  <c r="E430" i="25"/>
  <c r="E522" i="25"/>
  <c r="F520" i="25"/>
  <c r="E497" i="25"/>
  <c r="E479" i="25"/>
  <c r="F478" i="25"/>
  <c r="F477" i="25"/>
  <c r="F462" i="25"/>
  <c r="F454" i="25"/>
  <c r="F446" i="25"/>
  <c r="F438" i="25"/>
  <c r="F430" i="25"/>
  <c r="E424" i="25"/>
  <c r="F422" i="25"/>
  <c r="E421" i="25"/>
  <c r="E416" i="25"/>
  <c r="F414" i="25"/>
  <c r="E413" i="25"/>
  <c r="E408" i="25"/>
  <c r="F406" i="25"/>
  <c r="E405" i="25"/>
  <c r="E505" i="25"/>
  <c r="E471" i="25"/>
  <c r="F470" i="25"/>
  <c r="F469" i="25"/>
  <c r="F464" i="25"/>
  <c r="F456" i="25"/>
  <c r="F448" i="25"/>
  <c r="F440" i="25"/>
  <c r="F432" i="25"/>
  <c r="E427" i="25"/>
  <c r="E422" i="25"/>
  <c r="F420" i="25"/>
  <c r="E419" i="25"/>
  <c r="E414" i="25"/>
  <c r="F412" i="25"/>
  <c r="E411" i="25"/>
  <c r="E406" i="25"/>
  <c r="F404" i="25"/>
  <c r="E403" i="25"/>
  <c r="E489" i="25"/>
  <c r="F460" i="25"/>
  <c r="F452" i="25"/>
  <c r="F444" i="25"/>
  <c r="F436" i="25"/>
  <c r="E428" i="25"/>
  <c r="E426" i="25"/>
  <c r="F424" i="25"/>
  <c r="E423" i="25"/>
  <c r="E418" i="25"/>
  <c r="F416" i="25"/>
  <c r="E415" i="25"/>
  <c r="E410" i="25"/>
  <c r="F408" i="25"/>
  <c r="E407" i="25"/>
  <c r="E402" i="25"/>
  <c r="F400" i="25"/>
  <c r="F398" i="25"/>
  <c r="F396" i="25"/>
  <c r="F394" i="25"/>
  <c r="F392" i="25"/>
  <c r="F390" i="25"/>
  <c r="F388" i="25"/>
  <c r="F386" i="25"/>
  <c r="F384" i="25"/>
  <c r="F382" i="25"/>
  <c r="F380" i="25"/>
  <c r="F378" i="25"/>
  <c r="F376" i="25"/>
  <c r="F434" i="25"/>
  <c r="F418" i="25"/>
  <c r="E417" i="25"/>
  <c r="E412" i="25"/>
  <c r="E397" i="25"/>
  <c r="F395" i="25"/>
  <c r="E394" i="25"/>
  <c r="E389" i="25"/>
  <c r="F387" i="25"/>
  <c r="E386" i="25"/>
  <c r="E381" i="25"/>
  <c r="F379" i="25"/>
  <c r="E378" i="25"/>
  <c r="F374" i="25"/>
  <c r="F372" i="25"/>
  <c r="F370" i="25"/>
  <c r="F368" i="25"/>
  <c r="F366" i="25"/>
  <c r="F364" i="25"/>
  <c r="F362" i="25"/>
  <c r="F360" i="25"/>
  <c r="F358" i="25"/>
  <c r="F356" i="25"/>
  <c r="F354" i="25"/>
  <c r="F352" i="25"/>
  <c r="F350" i="25"/>
  <c r="F348" i="25"/>
  <c r="F346" i="25"/>
  <c r="F344" i="25"/>
  <c r="F342" i="25"/>
  <c r="F340" i="25"/>
  <c r="F338" i="25"/>
  <c r="F336" i="25"/>
  <c r="F334" i="25"/>
  <c r="F332" i="25"/>
  <c r="F330" i="25"/>
  <c r="F328" i="25"/>
  <c r="F326" i="25"/>
  <c r="F324" i="25"/>
  <c r="F322" i="25"/>
  <c r="F320" i="25"/>
  <c r="F318" i="25"/>
  <c r="F316" i="25"/>
  <c r="F314" i="25"/>
  <c r="F312" i="25"/>
  <c r="F310" i="25"/>
  <c r="F308" i="25"/>
  <c r="F306" i="25"/>
  <c r="F304" i="25"/>
  <c r="F302" i="25"/>
  <c r="F300" i="25"/>
  <c r="F298" i="25"/>
  <c r="F296" i="25"/>
  <c r="F294" i="25"/>
  <c r="F292" i="25"/>
  <c r="F290" i="25"/>
  <c r="F288" i="25"/>
  <c r="F286" i="25"/>
  <c r="F284" i="25"/>
  <c r="F282" i="25"/>
  <c r="F280" i="25"/>
  <c r="F521" i="25"/>
  <c r="F442" i="25"/>
  <c r="F410" i="25"/>
  <c r="E409" i="25"/>
  <c r="E404" i="25"/>
  <c r="E400" i="25"/>
  <c r="E395" i="25"/>
  <c r="F393" i="25"/>
  <c r="E392" i="25"/>
  <c r="E387" i="25"/>
  <c r="F385" i="25"/>
  <c r="E384" i="25"/>
  <c r="E379" i="25"/>
  <c r="F377" i="25"/>
  <c r="E376" i="25"/>
  <c r="E374" i="25"/>
  <c r="E372" i="25"/>
  <c r="E370" i="25"/>
  <c r="E368" i="25"/>
  <c r="E366" i="25"/>
  <c r="F458" i="25"/>
  <c r="F426" i="25"/>
  <c r="E425" i="25"/>
  <c r="E420" i="25"/>
  <c r="E399" i="25"/>
  <c r="F397" i="25"/>
  <c r="E396" i="25"/>
  <c r="E391" i="25"/>
  <c r="F389" i="25"/>
  <c r="E388" i="25"/>
  <c r="E383" i="25"/>
  <c r="F381" i="25"/>
  <c r="E380" i="25"/>
  <c r="E375" i="25"/>
  <c r="E373" i="25"/>
  <c r="E371" i="25"/>
  <c r="E369" i="25"/>
  <c r="E367" i="25"/>
  <c r="E365" i="25"/>
  <c r="E363" i="25"/>
  <c r="E361" i="25"/>
  <c r="E359" i="25"/>
  <c r="E357" i="25"/>
  <c r="E355" i="25"/>
  <c r="E353" i="25"/>
  <c r="E351" i="25"/>
  <c r="E349" i="25"/>
  <c r="E347" i="25"/>
  <c r="E345" i="25"/>
  <c r="F450" i="25"/>
  <c r="F391" i="25"/>
  <c r="E390" i="25"/>
  <c r="E385" i="25"/>
  <c r="F371" i="25"/>
  <c r="E364" i="25"/>
  <c r="F363" i="25"/>
  <c r="E360" i="25"/>
  <c r="F359" i="25"/>
  <c r="E356" i="25"/>
  <c r="F355" i="25"/>
  <c r="E352" i="25"/>
  <c r="F351" i="25"/>
  <c r="E348" i="25"/>
  <c r="F347" i="25"/>
  <c r="E344" i="25"/>
  <c r="E339" i="25"/>
  <c r="F337" i="25"/>
  <c r="E336" i="25"/>
  <c r="E331" i="25"/>
  <c r="F329" i="25"/>
  <c r="E328" i="25"/>
  <c r="E323" i="25"/>
  <c r="F321" i="25"/>
  <c r="E320" i="25"/>
  <c r="E315" i="25"/>
  <c r="F313" i="25"/>
  <c r="E312" i="25"/>
  <c r="E307" i="25"/>
  <c r="F305" i="25"/>
  <c r="E304" i="25"/>
  <c r="E299" i="25"/>
  <c r="F297" i="25"/>
  <c r="E296" i="25"/>
  <c r="E291" i="25"/>
  <c r="F289" i="25"/>
  <c r="E288" i="25"/>
  <c r="E283" i="25"/>
  <c r="F281" i="25"/>
  <c r="E280" i="25"/>
  <c r="F277" i="25"/>
  <c r="F275" i="25"/>
  <c r="F273" i="25"/>
  <c r="F271" i="25"/>
  <c r="F269" i="25"/>
  <c r="F267" i="25"/>
  <c r="F265" i="25"/>
  <c r="F402" i="25"/>
  <c r="F383" i="25"/>
  <c r="E382" i="25"/>
  <c r="E377" i="25"/>
  <c r="F373" i="25"/>
  <c r="F365" i="25"/>
  <c r="F343" i="25"/>
  <c r="E342" i="25"/>
  <c r="E337" i="25"/>
  <c r="F335" i="25"/>
  <c r="E334" i="25"/>
  <c r="E329" i="25"/>
  <c r="F327" i="25"/>
  <c r="E326" i="25"/>
  <c r="E321" i="25"/>
  <c r="F319" i="25"/>
  <c r="E318" i="25"/>
  <c r="E313" i="25"/>
  <c r="F311" i="25"/>
  <c r="E310" i="25"/>
  <c r="E305" i="25"/>
  <c r="F303" i="25"/>
  <c r="E302" i="25"/>
  <c r="E297" i="25"/>
  <c r="F295" i="25"/>
  <c r="E294" i="25"/>
  <c r="E289" i="25"/>
  <c r="F287" i="25"/>
  <c r="E286" i="25"/>
  <c r="E281" i="25"/>
  <c r="F279" i="25"/>
  <c r="E277" i="25"/>
  <c r="E275" i="25"/>
  <c r="E273" i="25"/>
  <c r="E271" i="25"/>
  <c r="E269" i="25"/>
  <c r="E267" i="25"/>
  <c r="E265" i="25"/>
  <c r="F428" i="25"/>
  <c r="E401" i="25"/>
  <c r="F399" i="25"/>
  <c r="E398" i="25"/>
  <c r="E393" i="25"/>
  <c r="F369" i="25"/>
  <c r="E341" i="25"/>
  <c r="F339" i="25"/>
  <c r="E338" i="25"/>
  <c r="E333" i="25"/>
  <c r="F331" i="25"/>
  <c r="E330" i="25"/>
  <c r="E325" i="25"/>
  <c r="F323" i="25"/>
  <c r="E322" i="25"/>
  <c r="E317" i="25"/>
  <c r="F315" i="25"/>
  <c r="E314" i="25"/>
  <c r="E309" i="25"/>
  <c r="F307" i="25"/>
  <c r="E306" i="25"/>
  <c r="E301" i="25"/>
  <c r="F299" i="25"/>
  <c r="E298" i="25"/>
  <c r="E293" i="25"/>
  <c r="F291" i="25"/>
  <c r="E290" i="25"/>
  <c r="E285" i="25"/>
  <c r="F283" i="25"/>
  <c r="E282" i="25"/>
  <c r="E278" i="25"/>
  <c r="E276" i="25"/>
  <c r="E274" i="25"/>
  <c r="E272" i="25"/>
  <c r="E270" i="25"/>
  <c r="E268" i="25"/>
  <c r="E266" i="25"/>
  <c r="E264" i="25"/>
  <c r="E262" i="25"/>
  <c r="E260" i="25"/>
  <c r="E258" i="25"/>
  <c r="E256" i="25"/>
  <c r="E254" i="25"/>
  <c r="E252" i="25"/>
  <c r="E250" i="25"/>
  <c r="E248" i="25"/>
  <c r="E246" i="25"/>
  <c r="E244" i="25"/>
  <c r="E242" i="25"/>
  <c r="E240" i="25"/>
  <c r="E238" i="25"/>
  <c r="E236" i="25"/>
  <c r="E234" i="25"/>
  <c r="E232" i="25"/>
  <c r="E230" i="25"/>
  <c r="E228" i="25"/>
  <c r="E226" i="25"/>
  <c r="F375" i="25"/>
  <c r="E362" i="25"/>
  <c r="F361" i="25"/>
  <c r="E346" i="25"/>
  <c r="F345" i="25"/>
  <c r="E343" i="25"/>
  <c r="F317" i="25"/>
  <c r="E316" i="25"/>
  <c r="E311" i="25"/>
  <c r="F285" i="25"/>
  <c r="E284" i="25"/>
  <c r="E279" i="25"/>
  <c r="F274" i="25"/>
  <c r="F266" i="25"/>
  <c r="F264" i="25"/>
  <c r="F263" i="25"/>
  <c r="E257" i="25"/>
  <c r="F256" i="25"/>
  <c r="F255" i="25"/>
  <c r="E249" i="25"/>
  <c r="F248" i="25"/>
  <c r="F247" i="25"/>
  <c r="E241" i="25"/>
  <c r="F240" i="25"/>
  <c r="F239" i="25"/>
  <c r="E233" i="25"/>
  <c r="F232" i="25"/>
  <c r="F231" i="25"/>
  <c r="E224" i="25"/>
  <c r="E222" i="25"/>
  <c r="E220" i="25"/>
  <c r="E218" i="25"/>
  <c r="E216" i="25"/>
  <c r="E214" i="25"/>
  <c r="E212" i="25"/>
  <c r="E210" i="25"/>
  <c r="E208" i="25"/>
  <c r="E206" i="25"/>
  <c r="E204" i="25"/>
  <c r="E202" i="25"/>
  <c r="E200" i="25"/>
  <c r="E198" i="25"/>
  <c r="E196" i="25"/>
  <c r="E194" i="25"/>
  <c r="E192" i="25"/>
  <c r="E190" i="25"/>
  <c r="E188" i="25"/>
  <c r="E186" i="25"/>
  <c r="E184" i="25"/>
  <c r="E182" i="25"/>
  <c r="E180" i="25"/>
  <c r="E178" i="25"/>
  <c r="E176" i="25"/>
  <c r="E174" i="25"/>
  <c r="E172" i="25"/>
  <c r="E170" i="25"/>
  <c r="E168" i="25"/>
  <c r="E166" i="25"/>
  <c r="E164" i="25"/>
  <c r="E162" i="25"/>
  <c r="E160" i="25"/>
  <c r="E158" i="25"/>
  <c r="E156" i="25"/>
  <c r="E154" i="25"/>
  <c r="E152" i="25"/>
  <c r="E150" i="25"/>
  <c r="E148" i="25"/>
  <c r="E146" i="25"/>
  <c r="E144" i="25"/>
  <c r="E142" i="25"/>
  <c r="E140" i="25"/>
  <c r="E138" i="25"/>
  <c r="E136" i="25"/>
  <c r="E134" i="25"/>
  <c r="E132" i="25"/>
  <c r="E130" i="25"/>
  <c r="E128" i="25"/>
  <c r="E126" i="25"/>
  <c r="E124" i="25"/>
  <c r="E122" i="25"/>
  <c r="E120" i="25"/>
  <c r="E350" i="25"/>
  <c r="F349" i="25"/>
  <c r="F341" i="25"/>
  <c r="E340" i="25"/>
  <c r="E335" i="25"/>
  <c r="F309" i="25"/>
  <c r="E308" i="25"/>
  <c r="E303" i="25"/>
  <c r="F276" i="25"/>
  <c r="F268" i="25"/>
  <c r="E263" i="25"/>
  <c r="F262" i="25"/>
  <c r="F261" i="25"/>
  <c r="E255" i="25"/>
  <c r="F254" i="25"/>
  <c r="F253" i="25"/>
  <c r="E247" i="25"/>
  <c r="F246" i="25"/>
  <c r="F245" i="25"/>
  <c r="E239" i="25"/>
  <c r="F238" i="25"/>
  <c r="F237" i="25"/>
  <c r="E231" i="25"/>
  <c r="F230" i="25"/>
  <c r="F229" i="25"/>
  <c r="F225" i="25"/>
  <c r="F223" i="25"/>
  <c r="F221" i="25"/>
  <c r="F367" i="25"/>
  <c r="E358" i="25"/>
  <c r="F357" i="25"/>
  <c r="F325" i="25"/>
  <c r="E324" i="25"/>
  <c r="E319" i="25"/>
  <c r="F293" i="25"/>
  <c r="E292" i="25"/>
  <c r="E287" i="25"/>
  <c r="F272" i="25"/>
  <c r="E259" i="25"/>
  <c r="F258" i="25"/>
  <c r="F257" i="25"/>
  <c r="E251" i="25"/>
  <c r="F250" i="25"/>
  <c r="F249" i="25"/>
  <c r="E243" i="25"/>
  <c r="F242" i="25"/>
  <c r="F241" i="25"/>
  <c r="E235" i="25"/>
  <c r="F234" i="25"/>
  <c r="F233" i="25"/>
  <c r="E227" i="25"/>
  <c r="F226" i="25"/>
  <c r="F224" i="25"/>
  <c r="F222" i="25"/>
  <c r="F220" i="25"/>
  <c r="F218" i="25"/>
  <c r="F216" i="25"/>
  <c r="F214" i="25"/>
  <c r="F212" i="25"/>
  <c r="F210" i="25"/>
  <c r="F208" i="25"/>
  <c r="F206" i="25"/>
  <c r="F204" i="25"/>
  <c r="F202" i="25"/>
  <c r="F200" i="25"/>
  <c r="F198" i="25"/>
  <c r="F196" i="25"/>
  <c r="F194" i="25"/>
  <c r="F192" i="25"/>
  <c r="F190" i="25"/>
  <c r="F188" i="25"/>
  <c r="F186" i="25"/>
  <c r="F184" i="25"/>
  <c r="F182" i="25"/>
  <c r="F180" i="25"/>
  <c r="F178" i="25"/>
  <c r="F176" i="25"/>
  <c r="F174" i="25"/>
  <c r="F172" i="25"/>
  <c r="F170" i="25"/>
  <c r="F168" i="25"/>
  <c r="F166" i="25"/>
  <c r="F164" i="25"/>
  <c r="F162" i="25"/>
  <c r="F160" i="25"/>
  <c r="F158" i="25"/>
  <c r="F156" i="25"/>
  <c r="F154" i="25"/>
  <c r="F152" i="25"/>
  <c r="F150" i="25"/>
  <c r="F148" i="25"/>
  <c r="F146" i="25"/>
  <c r="F144" i="25"/>
  <c r="F142" i="25"/>
  <c r="F140" i="25"/>
  <c r="F138" i="25"/>
  <c r="F136" i="25"/>
  <c r="F134" i="25"/>
  <c r="F132" i="25"/>
  <c r="F130" i="25"/>
  <c r="F128" i="25"/>
  <c r="F126" i="25"/>
  <c r="F124" i="25"/>
  <c r="F122" i="25"/>
  <c r="F120" i="25"/>
  <c r="F118" i="25"/>
  <c r="F116" i="25"/>
  <c r="F114" i="25"/>
  <c r="F112" i="25"/>
  <c r="F110" i="25"/>
  <c r="F108" i="25"/>
  <c r="F106" i="25"/>
  <c r="F104" i="25"/>
  <c r="F102" i="25"/>
  <c r="F100" i="25"/>
  <c r="F98" i="25"/>
  <c r="F96" i="25"/>
  <c r="F94" i="25"/>
  <c r="F92" i="25"/>
  <c r="F90" i="25"/>
  <c r="F88" i="25"/>
  <c r="F86" i="25"/>
  <c r="F84" i="25"/>
  <c r="F82" i="25"/>
  <c r="F80" i="25"/>
  <c r="F78" i="25"/>
  <c r="F76" i="25"/>
  <c r="F74" i="25"/>
  <c r="F72" i="25"/>
  <c r="F70" i="25"/>
  <c r="F68" i="25"/>
  <c r="F66" i="25"/>
  <c r="F64" i="25"/>
  <c r="F62" i="25"/>
  <c r="F60" i="25"/>
  <c r="F58" i="25"/>
  <c r="F56" i="25"/>
  <c r="F54" i="25"/>
  <c r="F52" i="25"/>
  <c r="F50" i="25"/>
  <c r="F48" i="25"/>
  <c r="F46" i="25"/>
  <c r="F44" i="25"/>
  <c r="F42" i="25"/>
  <c r="F40" i="25"/>
  <c r="F38" i="25"/>
  <c r="F36" i="25"/>
  <c r="F34" i="25"/>
  <c r="F32" i="25"/>
  <c r="F30" i="25"/>
  <c r="F353" i="25"/>
  <c r="F333" i="25"/>
  <c r="E295" i="25"/>
  <c r="E237" i="25"/>
  <c r="F236" i="25"/>
  <c r="F235" i="25"/>
  <c r="E221" i="25"/>
  <c r="E217" i="25"/>
  <c r="E213" i="25"/>
  <c r="E209" i="25"/>
  <c r="E205" i="25"/>
  <c r="E201" i="25"/>
  <c r="E197" i="25"/>
  <c r="E193" i="25"/>
  <c r="E189" i="25"/>
  <c r="E185" i="25"/>
  <c r="E181" i="25"/>
  <c r="E177" i="25"/>
  <c r="E173" i="25"/>
  <c r="E169" i="25"/>
  <c r="E165" i="25"/>
  <c r="E161" i="25"/>
  <c r="E157" i="25"/>
  <c r="E153" i="25"/>
  <c r="E149" i="25"/>
  <c r="E145" i="25"/>
  <c r="E141" i="25"/>
  <c r="E137" i="25"/>
  <c r="E133" i="25"/>
  <c r="E129" i="25"/>
  <c r="E125" i="25"/>
  <c r="E121" i="25"/>
  <c r="F119" i="25"/>
  <c r="E118" i="25"/>
  <c r="E113" i="25"/>
  <c r="F111" i="25"/>
  <c r="E110" i="25"/>
  <c r="E105" i="25"/>
  <c r="F103" i="25"/>
  <c r="E102" i="25"/>
  <c r="E97" i="25"/>
  <c r="F95" i="25"/>
  <c r="E94" i="25"/>
  <c r="E89" i="25"/>
  <c r="F87" i="25"/>
  <c r="E86" i="25"/>
  <c r="E81" i="25"/>
  <c r="F79" i="25"/>
  <c r="E78" i="25"/>
  <c r="E73" i="25"/>
  <c r="F71" i="25"/>
  <c r="E70" i="25"/>
  <c r="E65" i="25"/>
  <c r="F63" i="25"/>
  <c r="E62" i="25"/>
  <c r="E57" i="25"/>
  <c r="E38" i="25"/>
  <c r="F31" i="25"/>
  <c r="F301" i="25"/>
  <c r="E261" i="25"/>
  <c r="F260" i="25"/>
  <c r="F259" i="25"/>
  <c r="E229" i="25"/>
  <c r="F228" i="25"/>
  <c r="F227" i="25"/>
  <c r="E223" i="25"/>
  <c r="F219" i="25"/>
  <c r="F215" i="25"/>
  <c r="F211" i="25"/>
  <c r="F207" i="25"/>
  <c r="F203" i="25"/>
  <c r="F199" i="25"/>
  <c r="F195" i="25"/>
  <c r="F191" i="25"/>
  <c r="F187" i="25"/>
  <c r="F183" i="25"/>
  <c r="F179" i="25"/>
  <c r="F175" i="25"/>
  <c r="F171" i="25"/>
  <c r="F167" i="25"/>
  <c r="F163" i="25"/>
  <c r="F159" i="25"/>
  <c r="F155" i="25"/>
  <c r="F151" i="25"/>
  <c r="F147" i="25"/>
  <c r="F143" i="25"/>
  <c r="F139" i="25"/>
  <c r="F135" i="25"/>
  <c r="F131" i="25"/>
  <c r="F127" i="25"/>
  <c r="F123" i="25"/>
  <c r="E119" i="25"/>
  <c r="F117" i="25"/>
  <c r="E116" i="25"/>
  <c r="E111" i="25"/>
  <c r="F109" i="25"/>
  <c r="E108" i="25"/>
  <c r="E103" i="25"/>
  <c r="F101" i="25"/>
  <c r="E100" i="25"/>
  <c r="E95" i="25"/>
  <c r="F93" i="25"/>
  <c r="E92" i="25"/>
  <c r="E87" i="25"/>
  <c r="F85" i="25"/>
  <c r="E84" i="25"/>
  <c r="E79" i="25"/>
  <c r="F77" i="25"/>
  <c r="E76" i="25"/>
  <c r="E71" i="25"/>
  <c r="F69" i="25"/>
  <c r="E68" i="25"/>
  <c r="E63" i="25"/>
  <c r="F61" i="25"/>
  <c r="E60" i="25"/>
  <c r="E55" i="25"/>
  <c r="F53" i="25"/>
  <c r="E52" i="25"/>
  <c r="E47" i="25"/>
  <c r="F45" i="25"/>
  <c r="E44" i="25"/>
  <c r="E327" i="25"/>
  <c r="E300" i="25"/>
  <c r="F278" i="25"/>
  <c r="E245" i="25"/>
  <c r="F244" i="25"/>
  <c r="F243" i="25"/>
  <c r="F217" i="25"/>
  <c r="F213" i="25"/>
  <c r="F209" i="25"/>
  <c r="F205" i="25"/>
  <c r="F201" i="25"/>
  <c r="F197" i="25"/>
  <c r="F193" i="25"/>
  <c r="F189" i="25"/>
  <c r="F185" i="25"/>
  <c r="F181" i="25"/>
  <c r="F177" i="25"/>
  <c r="F173" i="25"/>
  <c r="F169" i="25"/>
  <c r="F165" i="25"/>
  <c r="F161" i="25"/>
  <c r="F157" i="25"/>
  <c r="F153" i="25"/>
  <c r="F149" i="25"/>
  <c r="F145" i="25"/>
  <c r="F141" i="25"/>
  <c r="F137" i="25"/>
  <c r="F133" i="25"/>
  <c r="F129" i="25"/>
  <c r="F125" i="25"/>
  <c r="F121" i="25"/>
  <c r="E115" i="25"/>
  <c r="F113" i="25"/>
  <c r="E112" i="25"/>
  <c r="E107" i="25"/>
  <c r="F105" i="25"/>
  <c r="E104" i="25"/>
  <c r="E99" i="25"/>
  <c r="F97" i="25"/>
  <c r="E96" i="25"/>
  <c r="E91" i="25"/>
  <c r="F89" i="25"/>
  <c r="E88" i="25"/>
  <c r="E83" i="25"/>
  <c r="F81" i="25"/>
  <c r="E80" i="25"/>
  <c r="E75" i="25"/>
  <c r="F73" i="25"/>
  <c r="E72" i="25"/>
  <c r="E67" i="25"/>
  <c r="F65" i="25"/>
  <c r="E64" i="25"/>
  <c r="E59" i="25"/>
  <c r="F57" i="25"/>
  <c r="E56" i="25"/>
  <c r="E51" i="25"/>
  <c r="F49" i="25"/>
  <c r="E48" i="25"/>
  <c r="E43" i="25"/>
  <c r="F41" i="25"/>
  <c r="E40" i="25"/>
  <c r="E35" i="25"/>
  <c r="F33" i="25"/>
  <c r="E32" i="25"/>
  <c r="F28" i="25"/>
  <c r="F26" i="25"/>
  <c r="F24" i="25"/>
  <c r="F22" i="25"/>
  <c r="F20" i="25"/>
  <c r="F18" i="25"/>
  <c r="F16" i="25"/>
  <c r="F14" i="25"/>
  <c r="F55" i="25"/>
  <c r="E54" i="25"/>
  <c r="E49" i="25"/>
  <c r="F47" i="25"/>
  <c r="E46" i="25"/>
  <c r="E41" i="25"/>
  <c r="F39" i="25"/>
  <c r="E33" i="25"/>
  <c r="E30" i="25"/>
  <c r="E28" i="25"/>
  <c r="E26" i="25"/>
  <c r="F270" i="25"/>
  <c r="E253" i="25"/>
  <c r="F251" i="25"/>
  <c r="E225" i="25"/>
  <c r="E215" i="25"/>
  <c r="E199" i="25"/>
  <c r="E183" i="25"/>
  <c r="E167" i="25"/>
  <c r="E151" i="25"/>
  <c r="E135" i="25"/>
  <c r="F99" i="25"/>
  <c r="E98" i="25"/>
  <c r="E93" i="25"/>
  <c r="F67" i="25"/>
  <c r="E66" i="25"/>
  <c r="E61" i="25"/>
  <c r="E39" i="25"/>
  <c r="F35" i="25"/>
  <c r="F29" i="25"/>
  <c r="F27" i="25"/>
  <c r="E23" i="25"/>
  <c r="F21" i="25"/>
  <c r="E15" i="25"/>
  <c r="F13" i="25"/>
  <c r="E13" i="25"/>
  <c r="F83" i="25"/>
  <c r="E50" i="25"/>
  <c r="F37" i="25"/>
  <c r="F25" i="25"/>
  <c r="F17" i="25"/>
  <c r="E16" i="25"/>
  <c r="E354" i="25"/>
  <c r="E332" i="25"/>
  <c r="E219" i="25"/>
  <c r="E203" i="25"/>
  <c r="E187" i="25"/>
  <c r="E171" i="25"/>
  <c r="E155" i="25"/>
  <c r="E139" i="25"/>
  <c r="E123" i="25"/>
  <c r="E117" i="25"/>
  <c r="F91" i="25"/>
  <c r="E90" i="25"/>
  <c r="E85" i="25"/>
  <c r="F59" i="25"/>
  <c r="E58" i="25"/>
  <c r="E53" i="25"/>
  <c r="E29" i="25"/>
  <c r="E27" i="25"/>
  <c r="E21" i="25"/>
  <c r="F19" i="25"/>
  <c r="E18" i="25"/>
  <c r="E207" i="25"/>
  <c r="E114" i="25"/>
  <c r="E109" i="25"/>
  <c r="E82" i="25"/>
  <c r="E77" i="25"/>
  <c r="E45" i="25"/>
  <c r="E24" i="25"/>
  <c r="E211" i="25"/>
  <c r="E195" i="25"/>
  <c r="E179" i="25"/>
  <c r="E163" i="25"/>
  <c r="E147" i="25"/>
  <c r="E131" i="25"/>
  <c r="F107" i="25"/>
  <c r="E106" i="25"/>
  <c r="E101" i="25"/>
  <c r="F75" i="25"/>
  <c r="E74" i="25"/>
  <c r="E69" i="25"/>
  <c r="F43" i="25"/>
  <c r="E42" i="25"/>
  <c r="E37" i="25"/>
  <c r="E36" i="25"/>
  <c r="E34" i="25"/>
  <c r="E25" i="25"/>
  <c r="F23" i="25"/>
  <c r="E22" i="25"/>
  <c r="E17" i="25"/>
  <c r="F15" i="25"/>
  <c r="E14" i="25"/>
  <c r="E20" i="25"/>
  <c r="F252" i="25"/>
  <c r="E191" i="25"/>
  <c r="E175" i="25"/>
  <c r="E159" i="25"/>
  <c r="E143" i="25"/>
  <c r="E127" i="25"/>
  <c r="F115" i="25"/>
  <c r="F51" i="25"/>
  <c r="E31" i="25"/>
  <c r="E19" i="25"/>
  <c r="E626" i="25"/>
  <c r="F626" i="25"/>
  <c r="E628" i="25"/>
  <c r="F628" i="25"/>
  <c r="AJ64" i="23"/>
  <c r="AF64" i="23"/>
  <c r="AJ106" i="23"/>
  <c r="AF106" i="23"/>
  <c r="AJ99" i="23"/>
  <c r="AF99" i="23"/>
  <c r="AF73" i="23"/>
  <c r="AJ73" i="23"/>
  <c r="AJ90" i="23"/>
  <c r="AF90" i="23"/>
  <c r="AF22" i="23"/>
  <c r="AJ22" i="23"/>
  <c r="AF28" i="23"/>
  <c r="AJ28" i="23"/>
  <c r="AF11" i="23"/>
  <c r="AJ11" i="23"/>
  <c r="AJ81" i="23"/>
  <c r="AF81" i="23"/>
  <c r="AJ52" i="23"/>
  <c r="AF52" i="23"/>
  <c r="AF71" i="23"/>
  <c r="AJ71" i="23"/>
  <c r="AF42" i="23"/>
  <c r="AJ42" i="23"/>
  <c r="AF53" i="23"/>
  <c r="AJ53" i="23"/>
  <c r="AJ21" i="23"/>
  <c r="AF21" i="23"/>
  <c r="AF13" i="23"/>
  <c r="AJ13" i="23"/>
  <c r="AF107" i="23"/>
  <c r="AJ107" i="23"/>
  <c r="AJ74" i="23"/>
  <c r="AF74" i="23"/>
  <c r="AF77" i="23"/>
  <c r="AJ77" i="23"/>
  <c r="AJ95" i="23"/>
  <c r="AF95" i="23"/>
  <c r="AJ25" i="23"/>
  <c r="AF25" i="23"/>
  <c r="AJ33" i="23"/>
  <c r="AF33" i="23"/>
  <c r="AF68" i="23"/>
  <c r="AJ68" i="23"/>
  <c r="AF40" i="23"/>
  <c r="AJ40" i="23"/>
  <c r="AF96" i="23"/>
  <c r="AJ96" i="23"/>
  <c r="AJ10" i="23"/>
  <c r="AF10" i="23"/>
  <c r="AF70" i="23"/>
  <c r="AJ70" i="23"/>
  <c r="AJ75" i="23"/>
  <c r="AF75" i="23"/>
  <c r="AJ35" i="23"/>
  <c r="AF35" i="23"/>
  <c r="AJ61" i="23"/>
  <c r="AF61" i="23"/>
  <c r="AF46" i="23"/>
  <c r="AJ46" i="23"/>
  <c r="AJ57" i="23"/>
  <c r="AF57" i="23"/>
  <c r="AJ51" i="23"/>
  <c r="AF51" i="23"/>
  <c r="AJ84" i="23"/>
  <c r="AF84" i="23"/>
  <c r="AJ103" i="23"/>
  <c r="AF103" i="23"/>
  <c r="AJ27" i="23"/>
  <c r="AF27" i="23"/>
  <c r="AJ85" i="23"/>
  <c r="AF85" i="23"/>
  <c r="AF49" i="23"/>
  <c r="AJ49" i="23"/>
  <c r="AJ38" i="23"/>
  <c r="AF38" i="23"/>
  <c r="AJ65" i="23"/>
  <c r="AF65" i="23"/>
  <c r="AJ37" i="23"/>
  <c r="AF37" i="23"/>
  <c r="AF78" i="23"/>
  <c r="AJ78" i="23"/>
  <c r="AJ94" i="23"/>
  <c r="AF94" i="23"/>
  <c r="AJ63" i="23"/>
  <c r="AF63" i="23"/>
  <c r="AF17" i="23"/>
  <c r="AJ17" i="23"/>
  <c r="AF23" i="23"/>
  <c r="AJ23" i="23"/>
  <c r="AJ100" i="23"/>
  <c r="AF100" i="23"/>
  <c r="AF39" i="23"/>
  <c r="AJ39" i="23"/>
  <c r="AJ50" i="23"/>
  <c r="AF50" i="23"/>
  <c r="AJ69" i="23"/>
  <c r="AF69" i="23"/>
  <c r="AJ31" i="23"/>
  <c r="AF31" i="23"/>
  <c r="AF15" i="23"/>
  <c r="AJ15" i="23"/>
  <c r="AJ79" i="23"/>
  <c r="AF79" i="23"/>
  <c r="AF83" i="23"/>
  <c r="AJ83" i="23"/>
  <c r="AJ72" i="23"/>
  <c r="AF72" i="23"/>
  <c r="AF54" i="23"/>
  <c r="AJ54" i="23"/>
  <c r="AJ32" i="23"/>
  <c r="AF32" i="23"/>
  <c r="AJ66" i="23"/>
  <c r="AF66" i="23"/>
  <c r="AJ14" i="23"/>
  <c r="AF14" i="23"/>
  <c r="AF98" i="23"/>
  <c r="AJ98" i="23"/>
  <c r="AF19" i="23"/>
  <c r="AJ19" i="23"/>
  <c r="AF80" i="23"/>
  <c r="AJ80" i="23"/>
  <c r="AJ56" i="23"/>
  <c r="AF56" i="23"/>
  <c r="AJ44" i="23"/>
  <c r="AF44" i="23"/>
  <c r="AF101" i="23"/>
  <c r="AJ101" i="23"/>
  <c r="AF48" i="23"/>
  <c r="AJ48" i="23"/>
  <c r="AF82" i="23"/>
  <c r="AJ82" i="23"/>
  <c r="AJ45" i="23"/>
  <c r="AF45" i="23"/>
  <c r="AJ34" i="23"/>
  <c r="AF34" i="23"/>
  <c r="AF91" i="23"/>
  <c r="AJ91" i="23"/>
  <c r="AJ26" i="23"/>
  <c r="AF26" i="23"/>
  <c r="AJ108" i="23"/>
  <c r="AF108" i="23"/>
  <c r="AJ102" i="23"/>
  <c r="AF102" i="23"/>
  <c r="AJ20" i="23"/>
  <c r="AF20" i="23"/>
  <c r="AF104" i="23"/>
  <c r="AJ104" i="23"/>
  <c r="AJ18" i="23"/>
  <c r="AF18" i="23"/>
  <c r="AJ105" i="23"/>
  <c r="AF105" i="23"/>
  <c r="AJ29" i="23"/>
  <c r="AF29" i="23"/>
  <c r="AJ41" i="23"/>
  <c r="AF41" i="23"/>
  <c r="AF55" i="23"/>
  <c r="AJ55" i="23"/>
  <c r="AJ43" i="23"/>
  <c r="AF43" i="23"/>
  <c r="AF92" i="23"/>
  <c r="AJ92" i="23"/>
  <c r="AJ12" i="23"/>
  <c r="AF12" i="23"/>
  <c r="AJ62" i="23"/>
  <c r="AF62" i="23"/>
  <c r="AF59" i="23"/>
  <c r="AJ59" i="23"/>
  <c r="AJ67" i="23"/>
  <c r="AF67" i="23"/>
  <c r="AF36" i="23"/>
  <c r="AJ36" i="23"/>
  <c r="AF88" i="23"/>
  <c r="AJ88" i="23"/>
  <c r="N9" i="23"/>
  <c r="AL70" i="21"/>
  <c r="AL54" i="21"/>
  <c r="AL10" i="21"/>
  <c r="AL95" i="21"/>
  <c r="AL79" i="21"/>
  <c r="AL63" i="21"/>
  <c r="AL31" i="21"/>
  <c r="V17" i="23"/>
  <c r="V59" i="23"/>
  <c r="V80" i="23"/>
  <c r="AL84" i="21"/>
  <c r="AL68" i="21"/>
  <c r="AL52" i="21"/>
  <c r="AL20" i="21"/>
  <c r="AL109" i="21"/>
  <c r="AL93" i="21"/>
  <c r="AL77" i="21"/>
  <c r="AL61" i="21"/>
  <c r="AL45" i="21"/>
  <c r="AL21" i="21"/>
  <c r="B69" i="23"/>
  <c r="B68" i="21"/>
  <c r="B69" i="21" s="1"/>
  <c r="V36" i="23"/>
  <c r="V18" i="23"/>
  <c r="V34" i="23"/>
  <c r="V72" i="23"/>
  <c r="V83" i="23"/>
  <c r="V88" i="23"/>
  <c r="V102" i="23"/>
  <c r="AL98" i="21"/>
  <c r="AL90" i="21"/>
  <c r="AL82" i="21"/>
  <c r="AL74" i="21"/>
  <c r="AL66" i="21"/>
  <c r="AL58" i="21"/>
  <c r="AL34" i="21"/>
  <c r="AL18" i="21"/>
  <c r="AL99" i="21"/>
  <c r="AL91" i="21"/>
  <c r="AL83" i="21"/>
  <c r="AL75" i="21"/>
  <c r="AL67" i="21"/>
  <c r="AL59" i="21"/>
  <c r="AL35" i="21"/>
  <c r="AL27" i="21"/>
  <c r="AL38" i="21"/>
  <c r="V29" i="23"/>
  <c r="V64" i="23"/>
  <c r="V91" i="23"/>
  <c r="V107" i="23"/>
  <c r="AL78" i="21"/>
  <c r="AL62" i="21"/>
  <c r="AL46" i="21"/>
  <c r="AL30" i="21"/>
  <c r="AL14" i="21"/>
  <c r="AL103" i="21"/>
  <c r="AL87" i="21"/>
  <c r="AL71" i="21"/>
  <c r="AL55" i="21"/>
  <c r="AL39" i="21"/>
  <c r="AL15" i="21"/>
  <c r="AL108" i="21"/>
  <c r="AL60" i="21"/>
  <c r="AL44" i="21"/>
  <c r="AL85" i="21"/>
  <c r="AL69" i="21"/>
  <c r="AL13" i="21"/>
  <c r="V10" i="23"/>
  <c r="V101" i="23"/>
  <c r="V82" i="23"/>
  <c r="V100" i="23"/>
  <c r="AL88" i="21"/>
  <c r="AL80" i="21"/>
  <c r="AL72" i="21"/>
  <c r="AL56" i="21"/>
  <c r="AL24" i="21"/>
  <c r="AL16" i="21"/>
  <c r="AL97" i="21"/>
  <c r="AL89" i="21"/>
  <c r="AL81" i="21"/>
  <c r="AL73" i="21"/>
  <c r="AL33" i="21"/>
  <c r="AL25" i="21"/>
  <c r="AL17" i="21"/>
  <c r="B80" i="23"/>
  <c r="AL104" i="21"/>
  <c r="AL11" i="21"/>
  <c r="V43" i="23"/>
  <c r="V75" i="23"/>
  <c r="V105" i="23"/>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N9" i="21" s="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O36" i="8"/>
  <c r="C75" i="1" s="1"/>
  <c r="N36" i="8"/>
  <c r="I4" i="8"/>
  <c r="D191" i="2"/>
  <c r="K3" i="17"/>
  <c r="E563" i="17" s="1"/>
  <c r="B9" i="8"/>
  <c r="B8" i="8" s="1"/>
  <c r="B7" i="8" s="1"/>
  <c r="B6" i="8" s="1"/>
  <c r="B4" i="8" s="1"/>
  <c r="D111" i="2"/>
  <c r="D114" i="2" s="1"/>
  <c r="J39" i="1" s="1"/>
  <c r="J34" i="1"/>
  <c r="D125" i="2"/>
  <c r="J36" i="1"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18" i="2"/>
  <c r="B177" i="2"/>
  <c r="B362" i="2" s="1"/>
  <c r="B319" i="2"/>
  <c r="B214" i="2"/>
  <c r="B192" i="2"/>
  <c r="C3" i="17"/>
  <c r="B25" i="2"/>
  <c r="B23" i="2"/>
  <c r="B24"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B380" i="2"/>
  <c r="O11" i="8"/>
  <c r="B240" i="2" s="1"/>
  <c r="C66" i="16"/>
  <c r="D66" i="16" s="1"/>
  <c r="B50" i="2"/>
  <c r="E62" i="1"/>
  <c r="P98" i="23" l="1"/>
  <c r="Q98" i="23" s="1"/>
  <c r="AE98" i="23" s="1"/>
  <c r="AF16" i="23"/>
  <c r="AJ16" i="23"/>
  <c r="AJ60" i="23"/>
  <c r="AF60" i="23"/>
  <c r="O14" i="23"/>
  <c r="AJ87" i="23"/>
  <c r="V87" i="23"/>
  <c r="W87" i="23" s="1"/>
  <c r="X87" i="23" s="1"/>
  <c r="AF87" i="23"/>
  <c r="O87" i="23"/>
  <c r="B113" i="2"/>
  <c r="AF47" i="23"/>
  <c r="AJ89" i="23"/>
  <c r="AJ47" i="23"/>
  <c r="AF86" i="23"/>
  <c r="AJ58" i="23"/>
  <c r="AF58" i="23"/>
  <c r="P80" i="23"/>
  <c r="Q80" i="23" s="1"/>
  <c r="AE80" i="23" s="1"/>
  <c r="O86" i="23"/>
  <c r="O47" i="23"/>
  <c r="P19" i="23"/>
  <c r="Q19" i="23" s="1"/>
  <c r="AE19" i="23" s="1"/>
  <c r="P16" i="23"/>
  <c r="Q16" i="23" s="1"/>
  <c r="AE16" i="23" s="1"/>
  <c r="P60" i="23"/>
  <c r="Q60" i="23" s="1"/>
  <c r="AE60" i="23" s="1"/>
  <c r="AJ86" i="23"/>
  <c r="V89" i="23"/>
  <c r="W89" i="23" s="1"/>
  <c r="X89" i="23" s="1"/>
  <c r="AF89" i="23"/>
  <c r="P97" i="23"/>
  <c r="Q97" i="23" s="1"/>
  <c r="AE97" i="23" s="1"/>
  <c r="P58" i="23"/>
  <c r="Q58" i="23" s="1"/>
  <c r="AE58" i="23" s="1"/>
  <c r="AF97" i="23"/>
  <c r="AJ97" i="23"/>
  <c r="O109" i="23"/>
  <c r="AJ109" i="23"/>
  <c r="AF109" i="23"/>
  <c r="AJ93" i="23"/>
  <c r="V24" i="23"/>
  <c r="W24" i="23" s="1"/>
  <c r="X24" i="23" s="1"/>
  <c r="AF24" i="23"/>
  <c r="O89" i="23"/>
  <c r="O76" i="23"/>
  <c r="AJ24" i="23"/>
  <c r="AF93" i="23"/>
  <c r="AJ30" i="23"/>
  <c r="P93" i="23"/>
  <c r="Q93" i="23" s="1"/>
  <c r="AE93" i="23" s="1"/>
  <c r="P24" i="23"/>
  <c r="Q24" i="23" s="1"/>
  <c r="AE24" i="23" s="1"/>
  <c r="AF30" i="23"/>
  <c r="P30" i="23"/>
  <c r="Q30" i="23" s="1"/>
  <c r="AE30" i="23" s="1"/>
  <c r="O93" i="23"/>
  <c r="AJ76" i="23"/>
  <c r="P76" i="23"/>
  <c r="Q76" i="23" s="1"/>
  <c r="AE76" i="23" s="1"/>
  <c r="B131" i="2"/>
  <c r="B211" i="2"/>
  <c r="B207" i="2"/>
  <c r="F3" i="17" s="1"/>
  <c r="B186" i="2"/>
  <c r="B191" i="2"/>
  <c r="B225" i="2"/>
  <c r="D97" i="2"/>
  <c r="D101" i="2" s="1"/>
  <c r="D105" i="2" s="1"/>
  <c r="J21" i="1" s="1"/>
  <c r="D65" i="2"/>
  <c r="D60" i="2"/>
  <c r="D67" i="2"/>
  <c r="D79" i="2"/>
  <c r="D88" i="2" s="1"/>
  <c r="J18" i="1" s="1"/>
  <c r="P9" i="23"/>
  <c r="Q9" i="23" s="1"/>
  <c r="AE9" i="23" s="1"/>
  <c r="O9" i="23"/>
  <c r="AB9" i="23"/>
  <c r="AC9" i="23" s="1"/>
  <c r="B153" i="2"/>
  <c r="B69" i="2"/>
  <c r="B148" i="2"/>
  <c r="B147"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382" i="2"/>
  <c r="B381" i="2"/>
  <c r="B97" i="2"/>
  <c r="B101" i="2" s="1"/>
  <c r="B60" i="2"/>
  <c r="B67" i="2"/>
  <c r="B79" i="2"/>
  <c r="E623" i="25"/>
  <c r="F623" i="25"/>
  <c r="S9" i="21"/>
  <c r="B111" i="2"/>
  <c r="E110" i="17"/>
  <c r="F329" i="17"/>
  <c r="E203" i="17"/>
  <c r="Y9" i="23"/>
  <c r="Z9" i="23" s="1"/>
  <c r="AA9" i="23" s="1"/>
  <c r="AF72" i="21"/>
  <c r="AF62" i="21"/>
  <c r="AF107" i="21"/>
  <c r="AF100" i="21"/>
  <c r="AH9" i="23"/>
  <c r="AI9" i="23" s="1"/>
  <c r="AF41" i="21"/>
  <c r="AF69" i="21"/>
  <c r="AF101" i="21"/>
  <c r="AF12" i="21"/>
  <c r="AF68" i="21"/>
  <c r="AF86" i="21"/>
  <c r="AF25" i="21"/>
  <c r="AF40" i="21"/>
  <c r="AF104" i="21"/>
  <c r="AF36" i="21"/>
  <c r="AF24" i="21"/>
  <c r="AF94" i="21"/>
  <c r="AF106" i="21"/>
  <c r="AJ9" i="23"/>
  <c r="AF9" i="23"/>
  <c r="V9" i="23"/>
  <c r="W9" i="23" s="1"/>
  <c r="X9" i="23" s="1"/>
  <c r="R9" i="23"/>
  <c r="W82" i="23"/>
  <c r="X82" i="23" s="1"/>
  <c r="W75" i="23"/>
  <c r="X75" i="23" s="1"/>
  <c r="W107" i="23"/>
  <c r="X107" i="23" s="1"/>
  <c r="W59" i="23"/>
  <c r="X59" i="23" s="1"/>
  <c r="W43" i="23"/>
  <c r="X43" i="23" s="1"/>
  <c r="W100" i="23"/>
  <c r="X100" i="23" s="1"/>
  <c r="W10" i="23"/>
  <c r="X10" i="23" s="1"/>
  <c r="W102" i="23"/>
  <c r="X102" i="23" s="1"/>
  <c r="W83" i="23"/>
  <c r="X83" i="23" s="1"/>
  <c r="W36" i="23"/>
  <c r="X36" i="23" s="1"/>
  <c r="W105" i="23"/>
  <c r="X105" i="23" s="1"/>
  <c r="W88" i="23"/>
  <c r="X88" i="23" s="1"/>
  <c r="W34" i="23"/>
  <c r="X34" i="23" s="1"/>
  <c r="W17" i="23"/>
  <c r="X17" i="23" s="1"/>
  <c r="W101" i="23"/>
  <c r="X101" i="23" s="1"/>
  <c r="W91" i="23"/>
  <c r="X91" i="23" s="1"/>
  <c r="W64" i="23"/>
  <c r="X64" i="23" s="1"/>
  <c r="W72" i="23"/>
  <c r="X72" i="23" s="1"/>
  <c r="W80" i="23"/>
  <c r="X80" i="23" s="1"/>
  <c r="W93" i="23"/>
  <c r="X93" i="23" s="1"/>
  <c r="W29" i="23"/>
  <c r="X29" i="23" s="1"/>
  <c r="W18" i="23"/>
  <c r="X18" i="23" s="1"/>
  <c r="V71" i="23"/>
  <c r="V77" i="23"/>
  <c r="V60" i="23"/>
  <c r="V28" i="23"/>
  <c r="V20" i="23"/>
  <c r="V61" i="23"/>
  <c r="R61" i="23"/>
  <c r="V70" i="23"/>
  <c r="V79" i="23"/>
  <c r="V47" i="23"/>
  <c r="V57" i="23"/>
  <c r="V62" i="23"/>
  <c r="R62" i="23"/>
  <c r="V26" i="23"/>
  <c r="V84" i="23"/>
  <c r="V97" i="23"/>
  <c r="R24" i="23"/>
  <c r="AH52" i="23"/>
  <c r="AI52" i="23" s="1"/>
  <c r="AK52" i="23" s="1"/>
  <c r="AH11" i="23"/>
  <c r="AI11" i="23" s="1"/>
  <c r="AK11" i="23" s="1"/>
  <c r="AH99" i="23"/>
  <c r="AI99" i="23" s="1"/>
  <c r="AK99" i="23" s="1"/>
  <c r="AF13" i="21"/>
  <c r="AF71" i="21"/>
  <c r="AH90" i="23"/>
  <c r="AI90" i="23" s="1"/>
  <c r="AK90" i="23" s="1"/>
  <c r="AH39" i="23"/>
  <c r="AI39" i="23" s="1"/>
  <c r="AK39" i="23" s="1"/>
  <c r="AB39" i="23"/>
  <c r="AC39" i="23" s="1"/>
  <c r="Y103" i="23"/>
  <c r="Z103" i="23" s="1"/>
  <c r="AA103" i="23" s="1"/>
  <c r="Y63" i="23"/>
  <c r="Z63" i="23" s="1"/>
  <c r="AA63" i="23" s="1"/>
  <c r="AH105" i="23"/>
  <c r="AI105" i="23" s="1"/>
  <c r="Y105" i="23"/>
  <c r="Z105" i="23" s="1"/>
  <c r="AA105" i="23" s="1"/>
  <c r="AB105" i="23"/>
  <c r="AC105" i="23" s="1"/>
  <c r="R105" i="23"/>
  <c r="R89" i="23"/>
  <c r="AH75" i="23"/>
  <c r="AI75" i="23" s="1"/>
  <c r="AK75" i="23" s="1"/>
  <c r="Y75" i="23"/>
  <c r="Z75" i="23" s="1"/>
  <c r="AA75" i="23" s="1"/>
  <c r="AB75" i="23"/>
  <c r="AC75" i="23" s="1"/>
  <c r="R75" i="23"/>
  <c r="AB86" i="23"/>
  <c r="AC86" i="23" s="1"/>
  <c r="AB68" i="23"/>
  <c r="AC68" i="23" s="1"/>
  <c r="AH68" i="23"/>
  <c r="AI68" i="23" s="1"/>
  <c r="AK68" i="23" s="1"/>
  <c r="AH43" i="23"/>
  <c r="AI43" i="23" s="1"/>
  <c r="AK43" i="23" s="1"/>
  <c r="Y43" i="23"/>
  <c r="Z43" i="23" s="1"/>
  <c r="AA43" i="23" s="1"/>
  <c r="AB43" i="23"/>
  <c r="AC43" i="23" s="1"/>
  <c r="R43" i="23"/>
  <c r="AH41" i="23"/>
  <c r="AI41" i="23" s="1"/>
  <c r="AK41" i="23" s="1"/>
  <c r="AB71" i="23"/>
  <c r="AC71" i="23" s="1"/>
  <c r="AH71" i="23"/>
  <c r="AI71" i="23" s="1"/>
  <c r="AK71" i="23" s="1"/>
  <c r="Y71" i="23"/>
  <c r="Z71" i="23" s="1"/>
  <c r="AA71" i="23" s="1"/>
  <c r="R101" i="23"/>
  <c r="AB54" i="23"/>
  <c r="AC54" i="23" s="1"/>
  <c r="AH22" i="23"/>
  <c r="AI22" i="23" s="1"/>
  <c r="AK22" i="23" s="1"/>
  <c r="R10" i="23"/>
  <c r="Y106" i="23"/>
  <c r="Z106" i="23" s="1"/>
  <c r="AA106" i="23" s="1"/>
  <c r="AB107" i="23"/>
  <c r="AC107" i="23" s="1"/>
  <c r="AH107" i="23"/>
  <c r="AI107" i="23" s="1"/>
  <c r="AK107" i="23" s="1"/>
  <c r="Y107" i="23"/>
  <c r="Z107" i="23" s="1"/>
  <c r="AA107" i="23" s="1"/>
  <c r="AB78" i="23"/>
  <c r="AC78" i="23" s="1"/>
  <c r="AH55" i="23"/>
  <c r="AI55" i="23" s="1"/>
  <c r="AK55" i="23" s="1"/>
  <c r="AH64" i="23"/>
  <c r="AI64" i="23" s="1"/>
  <c r="AK64" i="23" s="1"/>
  <c r="Y64" i="23"/>
  <c r="Z64" i="23" s="1"/>
  <c r="AA64" i="23" s="1"/>
  <c r="AB64" i="23"/>
  <c r="AC64" i="23" s="1"/>
  <c r="R64" i="23"/>
  <c r="AH23" i="23"/>
  <c r="AI23" i="23" s="1"/>
  <c r="AK23" i="23" s="1"/>
  <c r="AB12" i="23"/>
  <c r="AC12" i="23" s="1"/>
  <c r="AH13" i="23"/>
  <c r="AI13" i="23" s="1"/>
  <c r="AK13" i="23" s="1"/>
  <c r="R29" i="23"/>
  <c r="AH102" i="23"/>
  <c r="AI102" i="23" s="1"/>
  <c r="AK102" i="23" s="1"/>
  <c r="Y102" i="23"/>
  <c r="Z102" i="23" s="1"/>
  <c r="AA102" i="23" s="1"/>
  <c r="AB102" i="23"/>
  <c r="AC102" i="23" s="1"/>
  <c r="R102" i="23"/>
  <c r="AH88" i="23"/>
  <c r="AI88" i="23" s="1"/>
  <c r="AK88" i="23" s="1"/>
  <c r="Y88" i="23"/>
  <c r="Z88" i="23" s="1"/>
  <c r="AA88" i="23" s="1"/>
  <c r="AB88" i="23"/>
  <c r="AC88" i="23" s="1"/>
  <c r="R88" i="23"/>
  <c r="R83" i="23"/>
  <c r="AF45" i="21"/>
  <c r="AH63" i="23"/>
  <c r="AI63" i="23" s="1"/>
  <c r="AK63" i="23" s="1"/>
  <c r="Y73" i="23"/>
  <c r="Z73" i="23" s="1"/>
  <c r="AA73" i="23" s="1"/>
  <c r="AH21" i="23"/>
  <c r="AI21" i="23" s="1"/>
  <c r="AK21" i="23" s="1"/>
  <c r="AB98" i="23"/>
  <c r="AC98" i="23" s="1"/>
  <c r="Y86" i="23"/>
  <c r="Z86" i="23" s="1"/>
  <c r="AA86" i="23" s="1"/>
  <c r="Y56" i="23"/>
  <c r="Z56" i="23" s="1"/>
  <c r="AA56" i="23" s="1"/>
  <c r="AH48" i="23"/>
  <c r="AI48" i="23" s="1"/>
  <c r="AK48" i="23" s="1"/>
  <c r="AH58" i="23"/>
  <c r="AI58" i="23" s="1"/>
  <c r="AH16" i="23"/>
  <c r="AI16" i="23" s="1"/>
  <c r="AK16" i="23" s="1"/>
  <c r="R26" i="23"/>
  <c r="R71" i="23"/>
  <c r="AF81" i="21"/>
  <c r="AF32" i="21"/>
  <c r="AF11" i="21"/>
  <c r="AB82" i="23"/>
  <c r="AC82" i="23" s="1"/>
  <c r="Y82" i="23"/>
  <c r="Z82" i="23" s="1"/>
  <c r="AA82" i="23" s="1"/>
  <c r="AH82" i="23"/>
  <c r="AI82" i="23" s="1"/>
  <c r="AK82" i="23" s="1"/>
  <c r="AH47" i="23"/>
  <c r="AI47" i="23" s="1"/>
  <c r="Y47" i="23"/>
  <c r="Z47" i="23" s="1"/>
  <c r="AA47" i="23" s="1"/>
  <c r="AB47" i="23"/>
  <c r="AC47" i="23" s="1"/>
  <c r="R47" i="23"/>
  <c r="AH10" i="23"/>
  <c r="AI10" i="23" s="1"/>
  <c r="AK10" i="23" s="1"/>
  <c r="Y10" i="23"/>
  <c r="Z10" i="23" s="1"/>
  <c r="AA10" i="23" s="1"/>
  <c r="AB10" i="23"/>
  <c r="AC10" i="23" s="1"/>
  <c r="AF29" i="21"/>
  <c r="AF78" i="21"/>
  <c r="Y65" i="23"/>
  <c r="Z65" i="23" s="1"/>
  <c r="AA65" i="23" s="1"/>
  <c r="AH57" i="23"/>
  <c r="AI57" i="23" s="1"/>
  <c r="AK57" i="23" s="1"/>
  <c r="Y57" i="23"/>
  <c r="Z57" i="23" s="1"/>
  <c r="AA57" i="23" s="1"/>
  <c r="AB57" i="23"/>
  <c r="AC57" i="23" s="1"/>
  <c r="R57" i="23"/>
  <c r="AH66" i="23"/>
  <c r="AI66" i="23" s="1"/>
  <c r="AK66" i="23" s="1"/>
  <c r="AB66" i="23"/>
  <c r="AC66" i="23" s="1"/>
  <c r="Y66" i="23"/>
  <c r="Z66" i="23" s="1"/>
  <c r="AA66" i="23" s="1"/>
  <c r="AB29" i="23"/>
  <c r="AC29" i="23" s="1"/>
  <c r="Y29" i="23"/>
  <c r="Z29" i="23" s="1"/>
  <c r="AA29" i="23" s="1"/>
  <c r="AH29" i="23"/>
  <c r="AI29" i="23" s="1"/>
  <c r="AK29" i="23" s="1"/>
  <c r="AH83" i="23"/>
  <c r="AI83" i="23" s="1"/>
  <c r="AK83" i="23" s="1"/>
  <c r="Y83" i="23"/>
  <c r="Z83" i="23" s="1"/>
  <c r="AA83" i="23" s="1"/>
  <c r="AB83" i="23"/>
  <c r="AC83" i="23" s="1"/>
  <c r="AB72" i="23"/>
  <c r="AC72" i="23" s="1"/>
  <c r="AH72" i="23"/>
  <c r="AI72" i="23" s="1"/>
  <c r="AK72" i="23" s="1"/>
  <c r="Y72" i="23"/>
  <c r="Z72" i="23" s="1"/>
  <c r="AA72" i="23" s="1"/>
  <c r="R72" i="23"/>
  <c r="AH34" i="23"/>
  <c r="AI34" i="23" s="1"/>
  <c r="AK34" i="23" s="1"/>
  <c r="AB34" i="23"/>
  <c r="AC34" i="23" s="1"/>
  <c r="Y34" i="23"/>
  <c r="Z34" i="23" s="1"/>
  <c r="AA34" i="23" s="1"/>
  <c r="Y32" i="23"/>
  <c r="Z32" i="23" s="1"/>
  <c r="AA32" i="23" s="1"/>
  <c r="R36" i="23"/>
  <c r="AH94" i="23"/>
  <c r="AI94" i="23" s="1"/>
  <c r="AK94" i="23" s="1"/>
  <c r="AB94" i="23"/>
  <c r="AC94" i="23" s="1"/>
  <c r="AH84" i="23"/>
  <c r="AI84" i="23" s="1"/>
  <c r="AK84" i="23" s="1"/>
  <c r="Y84" i="23"/>
  <c r="Z84" i="23" s="1"/>
  <c r="AA84" i="23" s="1"/>
  <c r="AB84" i="23"/>
  <c r="AC84" i="23" s="1"/>
  <c r="R84" i="23"/>
  <c r="AB80" i="23"/>
  <c r="AC80" i="23" s="1"/>
  <c r="Y80" i="23"/>
  <c r="Z80" i="23" s="1"/>
  <c r="AA80" i="23" s="1"/>
  <c r="AH80" i="23"/>
  <c r="AI80" i="23" s="1"/>
  <c r="AK80" i="23" s="1"/>
  <c r="R80" i="23"/>
  <c r="AH87" i="23"/>
  <c r="Y87" i="23"/>
  <c r="Z87" i="23" s="1"/>
  <c r="AA87" i="23" s="1"/>
  <c r="AB87" i="23"/>
  <c r="AC87" i="23" s="1"/>
  <c r="AB59" i="23"/>
  <c r="AC59" i="23" s="1"/>
  <c r="Y59" i="23"/>
  <c r="Z59" i="23" s="1"/>
  <c r="AA59" i="23" s="1"/>
  <c r="AH59" i="23"/>
  <c r="AI59" i="23" s="1"/>
  <c r="AK59" i="23" s="1"/>
  <c r="R59" i="23"/>
  <c r="AB67" i="23"/>
  <c r="AC67" i="23" s="1"/>
  <c r="AH25" i="23"/>
  <c r="AI25" i="23" s="1"/>
  <c r="AK25" i="23" s="1"/>
  <c r="Y27" i="23"/>
  <c r="Z27" i="23" s="1"/>
  <c r="AA27" i="23" s="1"/>
  <c r="AH17" i="23"/>
  <c r="Y17" i="23"/>
  <c r="Z17" i="23" s="1"/>
  <c r="AA17" i="23" s="1"/>
  <c r="AB17" i="23"/>
  <c r="AC17" i="23" s="1"/>
  <c r="R17" i="23"/>
  <c r="AF79" i="21"/>
  <c r="AF10" i="21"/>
  <c r="AF70" i="21"/>
  <c r="F64" i="17"/>
  <c r="AH93" i="23"/>
  <c r="Y93" i="23"/>
  <c r="Z93" i="23" s="1"/>
  <c r="AA93" i="23" s="1"/>
  <c r="AB93" i="23"/>
  <c r="AC93" i="23" s="1"/>
  <c r="R93" i="23"/>
  <c r="AB89" i="23"/>
  <c r="AC89" i="23" s="1"/>
  <c r="AH89" i="23"/>
  <c r="AI89" i="23" s="1"/>
  <c r="Y89" i="23"/>
  <c r="Z89" i="23" s="1"/>
  <c r="AA89" i="23" s="1"/>
  <c r="AH95" i="23"/>
  <c r="AI95" i="23" s="1"/>
  <c r="AK95" i="23" s="1"/>
  <c r="AB96" i="23"/>
  <c r="AC96" i="23" s="1"/>
  <c r="AH79" i="23"/>
  <c r="AI79" i="23" s="1"/>
  <c r="AK79" i="23" s="1"/>
  <c r="Y79" i="23"/>
  <c r="Z79" i="23" s="1"/>
  <c r="AA79" i="23" s="1"/>
  <c r="AB79" i="23"/>
  <c r="R79" i="23"/>
  <c r="AH62" i="23"/>
  <c r="AI62" i="23" s="1"/>
  <c r="AK62" i="23" s="1"/>
  <c r="Y62" i="23"/>
  <c r="Z62" i="23" s="1"/>
  <c r="AA62" i="23" s="1"/>
  <c r="AB62" i="23"/>
  <c r="AC62" i="23" s="1"/>
  <c r="Y24" i="23"/>
  <c r="Z24" i="23" s="1"/>
  <c r="AA24" i="23" s="1"/>
  <c r="AB24" i="23"/>
  <c r="AC24" i="23" s="1"/>
  <c r="AH24" i="23"/>
  <c r="AI24" i="23" s="1"/>
  <c r="AH20" i="23"/>
  <c r="Y20" i="23"/>
  <c r="Z20" i="23" s="1"/>
  <c r="AA20" i="23" s="1"/>
  <c r="AB20" i="23"/>
  <c r="AC20" i="23" s="1"/>
  <c r="R20" i="23"/>
  <c r="AH26" i="23"/>
  <c r="AI26" i="23" s="1"/>
  <c r="AK26" i="23" s="1"/>
  <c r="AB26" i="23"/>
  <c r="AC26" i="23" s="1"/>
  <c r="Y26" i="23"/>
  <c r="Z26" i="23" s="1"/>
  <c r="AA26" i="23" s="1"/>
  <c r="AB99" i="23"/>
  <c r="AC99" i="23" s="1"/>
  <c r="AB100" i="23"/>
  <c r="AC100" i="23" s="1"/>
  <c r="AH100" i="23"/>
  <c r="AI100" i="23" s="1"/>
  <c r="AK100" i="23" s="1"/>
  <c r="Y100" i="23"/>
  <c r="Z100" i="23" s="1"/>
  <c r="AA100" i="23" s="1"/>
  <c r="R100" i="23"/>
  <c r="R82" i="23"/>
  <c r="AH101" i="23"/>
  <c r="AI101" i="23" s="1"/>
  <c r="AK101" i="23" s="1"/>
  <c r="Y101" i="23"/>
  <c r="Z101" i="23" s="1"/>
  <c r="AA101" i="23" s="1"/>
  <c r="AB101" i="23"/>
  <c r="AC101" i="23" s="1"/>
  <c r="AB50" i="23"/>
  <c r="AC50" i="23" s="1"/>
  <c r="AH50" i="23"/>
  <c r="AI50" i="23" s="1"/>
  <c r="AK50" i="23" s="1"/>
  <c r="AH104" i="23"/>
  <c r="AI104" i="23" s="1"/>
  <c r="AK104" i="23" s="1"/>
  <c r="AB61" i="23"/>
  <c r="AC61" i="23" s="1"/>
  <c r="AH61" i="23"/>
  <c r="Y61" i="23"/>
  <c r="Z61" i="23" s="1"/>
  <c r="AA61" i="23" s="1"/>
  <c r="AB46" i="23"/>
  <c r="AC46" i="23" s="1"/>
  <c r="AH44" i="23"/>
  <c r="AI44" i="23" s="1"/>
  <c r="AK44" i="23" s="1"/>
  <c r="R107" i="23"/>
  <c r="Y92" i="23"/>
  <c r="Z92" i="23" s="1"/>
  <c r="AA92" i="23" s="1"/>
  <c r="Y85" i="23"/>
  <c r="Z85" i="23" s="1"/>
  <c r="AA85" i="23" s="1"/>
  <c r="AH91" i="23"/>
  <c r="Y91" i="23"/>
  <c r="Z91" i="23" s="1"/>
  <c r="AA91" i="23" s="1"/>
  <c r="AB91" i="23"/>
  <c r="AC91" i="23" s="1"/>
  <c r="R91" i="23"/>
  <c r="AB74" i="23"/>
  <c r="AC74" i="23" s="1"/>
  <c r="Y51" i="23"/>
  <c r="Z51" i="23" s="1"/>
  <c r="AA51" i="23" s="1"/>
  <c r="AB33" i="23"/>
  <c r="AC33" i="23" s="1"/>
  <c r="AB70" i="23"/>
  <c r="AC70" i="23" s="1"/>
  <c r="AH70" i="23"/>
  <c r="AI70" i="23" s="1"/>
  <c r="AK70" i="23" s="1"/>
  <c r="Y70" i="23"/>
  <c r="Z70" i="23" s="1"/>
  <c r="AA70" i="23" s="1"/>
  <c r="R70" i="23"/>
  <c r="AB14" i="23"/>
  <c r="AC14" i="23" s="1"/>
  <c r="AB31" i="23"/>
  <c r="AC31" i="23" s="1"/>
  <c r="AF35" i="21"/>
  <c r="AF51" i="21"/>
  <c r="AF83" i="21"/>
  <c r="AF34" i="21"/>
  <c r="AF50" i="21"/>
  <c r="AF66" i="21"/>
  <c r="AF98" i="21"/>
  <c r="AH77" i="23"/>
  <c r="AI77" i="23" s="1"/>
  <c r="AK77" i="23" s="1"/>
  <c r="Y77" i="23"/>
  <c r="Z77" i="23" s="1"/>
  <c r="AA77" i="23" s="1"/>
  <c r="AB77" i="23"/>
  <c r="AC77" i="23" s="1"/>
  <c r="R77" i="23"/>
  <c r="Y60" i="23"/>
  <c r="Z60" i="23" s="1"/>
  <c r="AA60" i="23" s="1"/>
  <c r="AH60" i="23"/>
  <c r="AI60" i="23" s="1"/>
  <c r="AK60" i="23" s="1"/>
  <c r="AB60" i="23"/>
  <c r="AC60" i="23" s="1"/>
  <c r="R60" i="23"/>
  <c r="R34" i="23"/>
  <c r="AH18" i="23"/>
  <c r="AI18" i="23" s="1"/>
  <c r="AK18" i="23" s="1"/>
  <c r="Y18" i="23"/>
  <c r="Z18" i="23" s="1"/>
  <c r="AA18" i="23" s="1"/>
  <c r="AB18" i="23"/>
  <c r="R18" i="23"/>
  <c r="AB37" i="23"/>
  <c r="AC37" i="23" s="1"/>
  <c r="AB36" i="23"/>
  <c r="AC36" i="23" s="1"/>
  <c r="AH36" i="23"/>
  <c r="AI36" i="23" s="1"/>
  <c r="AK36" i="23" s="1"/>
  <c r="Y36" i="23"/>
  <c r="Z36" i="23" s="1"/>
  <c r="AA36" i="23" s="1"/>
  <c r="AB30" i="23"/>
  <c r="AC30" i="23" s="1"/>
  <c r="AF84" i="21"/>
  <c r="Y109" i="23"/>
  <c r="Z109" i="23" s="1"/>
  <c r="AA109" i="23" s="1"/>
  <c r="Y108" i="23"/>
  <c r="Z108" i="23" s="1"/>
  <c r="AA108" i="23" s="1"/>
  <c r="AH97" i="23"/>
  <c r="AI97" i="23" s="1"/>
  <c r="Y97" i="23"/>
  <c r="Z97" i="23" s="1"/>
  <c r="AA97" i="23" s="1"/>
  <c r="AB97" i="23"/>
  <c r="AC97" i="23" s="1"/>
  <c r="R97" i="23"/>
  <c r="AB76" i="23"/>
  <c r="AC76" i="23" s="1"/>
  <c r="R87" i="23"/>
  <c r="AH45" i="23"/>
  <c r="AI45" i="23" s="1"/>
  <c r="AK45" i="23" s="1"/>
  <c r="Y15" i="23"/>
  <c r="Z15" i="23" s="1"/>
  <c r="AA15" i="23" s="1"/>
  <c r="Y40" i="23"/>
  <c r="Z40" i="23" s="1"/>
  <c r="AA40" i="23" s="1"/>
  <c r="AH28" i="23"/>
  <c r="AI28" i="23" s="1"/>
  <c r="AK28" i="23" s="1"/>
  <c r="AB28" i="23"/>
  <c r="Y28" i="23"/>
  <c r="Z28" i="23" s="1"/>
  <c r="AA28" i="23" s="1"/>
  <c r="R28" i="23"/>
  <c r="AH38" i="23"/>
  <c r="AI38" i="23" s="1"/>
  <c r="AK38" i="23" s="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AN96" i="21" s="1"/>
  <c r="V52" i="21"/>
  <c r="AJ52" i="21"/>
  <c r="V20" i="21"/>
  <c r="AJ20" i="21"/>
  <c r="V56" i="21"/>
  <c r="AJ56" i="21"/>
  <c r="V88" i="21"/>
  <c r="R88" i="21"/>
  <c r="AN88" i="21" s="1"/>
  <c r="AJ88" i="21"/>
  <c r="V61" i="21"/>
  <c r="R61" i="21"/>
  <c r="AN61" i="21" s="1"/>
  <c r="V64" i="21"/>
  <c r="R64" i="21"/>
  <c r="AN64" i="21" s="1"/>
  <c r="V89" i="21"/>
  <c r="R89" i="21"/>
  <c r="AN89" i="21" s="1"/>
  <c r="V67" i="21"/>
  <c r="R67" i="21"/>
  <c r="AN67" i="21" s="1"/>
  <c r="AJ67" i="21"/>
  <c r="V99" i="21"/>
  <c r="R99" i="21"/>
  <c r="AN99" i="21" s="1"/>
  <c r="V30" i="21"/>
  <c r="AJ30" i="21"/>
  <c r="R30" i="21"/>
  <c r="AN30" i="21" s="1"/>
  <c r="AJ35" i="21"/>
  <c r="R35" i="21"/>
  <c r="AN35" i="21" s="1"/>
  <c r="AJ84" i="21"/>
  <c r="AJ25" i="21"/>
  <c r="AJ24" i="21"/>
  <c r="R32" i="21"/>
  <c r="AN32" i="21" s="1"/>
  <c r="R29" i="21"/>
  <c r="AN29" i="21" s="1"/>
  <c r="V19" i="21"/>
  <c r="AJ19" i="21"/>
  <c r="V91" i="21"/>
  <c r="R91" i="21"/>
  <c r="AN91" i="21" s="1"/>
  <c r="AJ91" i="21"/>
  <c r="V21" i="21"/>
  <c r="AJ21" i="21"/>
  <c r="R21" i="21"/>
  <c r="AN21" i="21" s="1"/>
  <c r="V44" i="21"/>
  <c r="R44" i="21"/>
  <c r="AN44" i="21" s="1"/>
  <c r="AJ44" i="21"/>
  <c r="V23" i="21"/>
  <c r="AJ23" i="21"/>
  <c r="R23" i="21"/>
  <c r="AN23" i="21" s="1"/>
  <c r="V97" i="21"/>
  <c r="AJ97" i="21"/>
  <c r="R97" i="21"/>
  <c r="AN97" i="21" s="1"/>
  <c r="V51" i="21"/>
  <c r="AJ51" i="21"/>
  <c r="V42" i="21"/>
  <c r="AJ42" i="21"/>
  <c r="R42" i="21"/>
  <c r="AN42" i="21" s="1"/>
  <c r="V92" i="21"/>
  <c r="R92" i="21"/>
  <c r="AN92" i="21" s="1"/>
  <c r="AJ92" i="21"/>
  <c r="V95" i="21"/>
  <c r="AJ95" i="21"/>
  <c r="R95" i="21"/>
  <c r="AN95" i="21" s="1"/>
  <c r="V33" i="21"/>
  <c r="R33" i="21"/>
  <c r="AN33" i="21" s="1"/>
  <c r="AJ33" i="21"/>
  <c r="V48" i="21"/>
  <c r="R48" i="21"/>
  <c r="AN48" i="21" s="1"/>
  <c r="AJ48" i="21"/>
  <c r="V27" i="21"/>
  <c r="R27" i="21"/>
  <c r="AN27" i="21" s="1"/>
  <c r="AJ27" i="21"/>
  <c r="N43" i="21"/>
  <c r="V83" i="21"/>
  <c r="AJ83" i="21"/>
  <c r="V58" i="21"/>
  <c r="R58" i="21"/>
  <c r="AN58" i="21" s="1"/>
  <c r="AJ58" i="21"/>
  <c r="V54" i="21"/>
  <c r="AJ54" i="21"/>
  <c r="R54" i="21"/>
  <c r="AN54" i="21" s="1"/>
  <c r="V85" i="21"/>
  <c r="AJ85" i="21"/>
  <c r="R85" i="21"/>
  <c r="AN85" i="21" s="1"/>
  <c r="V60" i="21"/>
  <c r="R60" i="21"/>
  <c r="AN60" i="21" s="1"/>
  <c r="AJ60" i="21"/>
  <c r="V73" i="21"/>
  <c r="AJ73" i="21"/>
  <c r="R73" i="21"/>
  <c r="AN73" i="21" s="1"/>
  <c r="V15" i="21"/>
  <c r="AJ15" i="21"/>
  <c r="R15" i="21"/>
  <c r="AN15" i="21" s="1"/>
  <c r="V93" i="21"/>
  <c r="AJ93" i="21"/>
  <c r="R93" i="21"/>
  <c r="AN93" i="21" s="1"/>
  <c r="V55" i="21"/>
  <c r="AJ55" i="21"/>
  <c r="R55" i="21"/>
  <c r="AN55" i="21" s="1"/>
  <c r="V65" i="21"/>
  <c r="AJ65" i="21"/>
  <c r="R65" i="21"/>
  <c r="AN65" i="21" s="1"/>
  <c r="R19" i="21"/>
  <c r="AN19" i="21" s="1"/>
  <c r="V59" i="21"/>
  <c r="R59" i="21"/>
  <c r="AN59" i="21" s="1"/>
  <c r="AJ59" i="21"/>
  <c r="N75" i="21"/>
  <c r="V74" i="21"/>
  <c r="AJ74" i="21"/>
  <c r="R74" i="21"/>
  <c r="AN74" i="21" s="1"/>
  <c r="V90" i="21"/>
  <c r="AJ90" i="21"/>
  <c r="R90" i="21"/>
  <c r="AN90" i="21" s="1"/>
  <c r="V63" i="21"/>
  <c r="AJ63" i="21"/>
  <c r="R63" i="21"/>
  <c r="AN63" i="21" s="1"/>
  <c r="V53" i="21"/>
  <c r="AJ53" i="21"/>
  <c r="R53" i="21"/>
  <c r="AN53" i="21" s="1"/>
  <c r="V28" i="21"/>
  <c r="AJ28" i="21"/>
  <c r="R28" i="21"/>
  <c r="AN28" i="21" s="1"/>
  <c r="V87" i="21"/>
  <c r="R87" i="21"/>
  <c r="AN87" i="21" s="1"/>
  <c r="AJ87" i="21"/>
  <c r="AB35" i="21"/>
  <c r="AH35" i="21"/>
  <c r="Y35" i="21"/>
  <c r="AH67" i="21"/>
  <c r="AB67" i="21"/>
  <c r="Y67" i="21"/>
  <c r="AH99" i="21"/>
  <c r="AB99" i="21"/>
  <c r="Y99" i="21"/>
  <c r="R107" i="21"/>
  <c r="AN107" i="21" s="1"/>
  <c r="R34" i="21"/>
  <c r="AN34" i="21" s="1"/>
  <c r="AH50" i="21"/>
  <c r="AB50" i="21"/>
  <c r="Y50" i="21"/>
  <c r="AJ50" i="21"/>
  <c r="R66" i="21"/>
  <c r="AN66" i="21" s="1"/>
  <c r="R98" i="21"/>
  <c r="AN98" i="21" s="1"/>
  <c r="R106" i="21"/>
  <c r="AN106" i="21" s="1"/>
  <c r="R78" i="21"/>
  <c r="AN78" i="21" s="1"/>
  <c r="AJ13" i="21"/>
  <c r="AH29" i="21"/>
  <c r="Y29" i="21"/>
  <c r="AB29" i="21"/>
  <c r="N37" i="21"/>
  <c r="AJ45" i="21"/>
  <c r="AH61" i="21"/>
  <c r="Y61" i="21"/>
  <c r="AB61" i="21"/>
  <c r="AH69" i="21"/>
  <c r="Y69" i="21"/>
  <c r="AB69" i="21"/>
  <c r="AH101" i="21"/>
  <c r="Y101" i="21"/>
  <c r="AB101" i="21"/>
  <c r="AJ101" i="21"/>
  <c r="R20" i="21"/>
  <c r="AN20" i="21" s="1"/>
  <c r="AH36" i="21"/>
  <c r="AB36" i="21"/>
  <c r="Y36" i="21"/>
  <c r="R52" i="21"/>
  <c r="AN52" i="21" s="1"/>
  <c r="AH68" i="21"/>
  <c r="Y68" i="21"/>
  <c r="AB68" i="21"/>
  <c r="R84" i="21"/>
  <c r="AN84" i="21" s="1"/>
  <c r="AH100" i="21"/>
  <c r="Y100" i="21"/>
  <c r="AB100" i="21"/>
  <c r="AJ79" i="21"/>
  <c r="R10" i="21"/>
  <c r="AN10" i="21" s="1"/>
  <c r="AH86" i="21"/>
  <c r="AB86" i="21"/>
  <c r="Y86" i="21"/>
  <c r="AH12" i="21"/>
  <c r="Y12" i="21"/>
  <c r="AB12" i="21"/>
  <c r="R25" i="21"/>
  <c r="AN25" i="21" s="1"/>
  <c r="AH41" i="21"/>
  <c r="AB41" i="21"/>
  <c r="Y41" i="21"/>
  <c r="R57" i="21"/>
  <c r="AN57" i="21" s="1"/>
  <c r="N105" i="21"/>
  <c r="R24" i="21"/>
  <c r="AN24" i="21" s="1"/>
  <c r="AH40" i="21"/>
  <c r="AB40" i="21"/>
  <c r="Y40" i="21"/>
  <c r="R56" i="21"/>
  <c r="AN56" i="21" s="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N50" i="21" s="1"/>
  <c r="AH66" i="21"/>
  <c r="AB66" i="21"/>
  <c r="Y66" i="21"/>
  <c r="AJ66" i="21"/>
  <c r="N82" i="21"/>
  <c r="AH98" i="21"/>
  <c r="AB98" i="21"/>
  <c r="Y98" i="21"/>
  <c r="AJ98" i="21"/>
  <c r="AH30" i="21"/>
  <c r="AB30" i="21"/>
  <c r="Y30" i="21"/>
  <c r="N102" i="21"/>
  <c r="AH13" i="21"/>
  <c r="Y13" i="21"/>
  <c r="AB13" i="21"/>
  <c r="AJ29" i="21"/>
  <c r="AH45" i="21"/>
  <c r="Y45" i="21"/>
  <c r="AB45" i="21"/>
  <c r="AJ61" i="21"/>
  <c r="R69" i="21"/>
  <c r="AN69" i="21" s="1"/>
  <c r="N77" i="21"/>
  <c r="R101" i="21"/>
  <c r="AN101" i="21" s="1"/>
  <c r="N109" i="21"/>
  <c r="AH20" i="21"/>
  <c r="AB20" i="21"/>
  <c r="Y20" i="21"/>
  <c r="R36" i="21"/>
  <c r="AN36" i="21" s="1"/>
  <c r="AH52" i="21"/>
  <c r="Y52" i="21"/>
  <c r="AB52" i="21"/>
  <c r="R68" i="21"/>
  <c r="AN68" i="21" s="1"/>
  <c r="N76" i="21"/>
  <c r="AH84" i="21"/>
  <c r="Y84" i="21"/>
  <c r="AB84" i="21"/>
  <c r="R100" i="21"/>
  <c r="AN100" i="21" s="1"/>
  <c r="N108" i="21"/>
  <c r="AH79" i="21"/>
  <c r="AB79" i="21"/>
  <c r="Y79" i="21"/>
  <c r="N22" i="21"/>
  <c r="AH70" i="21"/>
  <c r="AB70" i="21"/>
  <c r="Y70" i="21"/>
  <c r="AJ70" i="21"/>
  <c r="R12" i="21"/>
  <c r="AN12" i="21" s="1"/>
  <c r="N17" i="21"/>
  <c r="AH25" i="21"/>
  <c r="AB25" i="21"/>
  <c r="Y25" i="21"/>
  <c r="R41" i="21"/>
  <c r="AN41" i="21" s="1"/>
  <c r="N49" i="21"/>
  <c r="AH57" i="21"/>
  <c r="Y57" i="21"/>
  <c r="AB57" i="21"/>
  <c r="AH81" i="21"/>
  <c r="Y81" i="21"/>
  <c r="AB81" i="21"/>
  <c r="AH89" i="21"/>
  <c r="Y89" i="21"/>
  <c r="AB89" i="21"/>
  <c r="AJ89" i="21"/>
  <c r="N16" i="21"/>
  <c r="AH24" i="21"/>
  <c r="AB24" i="21"/>
  <c r="Y24" i="21"/>
  <c r="AJ32" i="21"/>
  <c r="R40" i="21"/>
  <c r="AN40" i="21" s="1"/>
  <c r="AH56" i="21"/>
  <c r="Y56" i="21"/>
  <c r="AB56" i="21"/>
  <c r="AJ64" i="21"/>
  <c r="R72" i="21"/>
  <c r="AN72" i="21" s="1"/>
  <c r="N80" i="21"/>
  <c r="AH88" i="21"/>
  <c r="Y88" i="21"/>
  <c r="AB88" i="21"/>
  <c r="AJ96" i="21"/>
  <c r="R104" i="21"/>
  <c r="AN104" i="21" s="1"/>
  <c r="R11" i="21"/>
  <c r="AN11" i="21" s="1"/>
  <c r="AH71" i="21"/>
  <c r="AB71" i="21"/>
  <c r="Y71" i="21"/>
  <c r="N14" i="21"/>
  <c r="R62" i="21"/>
  <c r="AN62" i="21" s="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N13" i="21" s="1"/>
  <c r="AH21" i="21"/>
  <c r="Y21" i="21"/>
  <c r="AB21" i="21"/>
  <c r="R45" i="21"/>
  <c r="AN45" i="21" s="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N79" i="21" s="1"/>
  <c r="AH95" i="21"/>
  <c r="AB95" i="21"/>
  <c r="Y95" i="21"/>
  <c r="AH10" i="21"/>
  <c r="AB10" i="21"/>
  <c r="Y10" i="21"/>
  <c r="AJ10" i="21"/>
  <c r="N46" i="21"/>
  <c r="R70" i="21"/>
  <c r="AN70" i="21" s="1"/>
  <c r="R86" i="21"/>
  <c r="AN86" i="21" s="1"/>
  <c r="AJ86" i="21"/>
  <c r="AJ12" i="21"/>
  <c r="AH33" i="21"/>
  <c r="Y33" i="21"/>
  <c r="AB33" i="21"/>
  <c r="AJ41" i="21"/>
  <c r="AH65" i="21"/>
  <c r="Y65" i="21"/>
  <c r="AB65" i="21"/>
  <c r="R81" i="21"/>
  <c r="AN81" i="21" s="1"/>
  <c r="AH32" i="21"/>
  <c r="AB32" i="21"/>
  <c r="Y32" i="21"/>
  <c r="AJ40" i="21"/>
  <c r="AH64" i="21"/>
  <c r="AB64" i="21"/>
  <c r="Y64" i="21"/>
  <c r="AJ72" i="21"/>
  <c r="AH96" i="21"/>
  <c r="AB96" i="21"/>
  <c r="Y96" i="21"/>
  <c r="AJ104" i="21"/>
  <c r="AB11" i="21"/>
  <c r="AH11" i="21"/>
  <c r="Y11" i="21"/>
  <c r="AH15" i="21"/>
  <c r="AB15" i="21"/>
  <c r="Y15" i="21"/>
  <c r="N31" i="21"/>
  <c r="R71" i="21"/>
  <c r="AN71" i="21" s="1"/>
  <c r="AH87" i="21"/>
  <c r="AB87" i="21"/>
  <c r="Y87" i="21"/>
  <c r="N103" i="21"/>
  <c r="N38" i="21"/>
  <c r="AH62" i="21"/>
  <c r="AB62" i="21"/>
  <c r="Y62" i="21"/>
  <c r="R94" i="21"/>
  <c r="AN94" i="21" s="1"/>
  <c r="AJ94" i="21"/>
  <c r="D232" i="2"/>
  <c r="O35" i="8"/>
  <c r="C74" i="1" s="1"/>
  <c r="N35" i="8"/>
  <c r="D195" i="2"/>
  <c r="D198" i="2"/>
  <c r="F7" i="25" s="1"/>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23" i="17" s="1"/>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364" i="2"/>
  <c r="B163"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B371" i="2"/>
  <c r="A362" i="2"/>
  <c r="C51" i="16"/>
  <c r="D51" i="16" s="1"/>
  <c r="B157" i="2"/>
  <c r="A371" i="2"/>
  <c r="B246" i="2"/>
  <c r="B245" i="2"/>
  <c r="B247" i="2"/>
  <c r="B15" i="6"/>
  <c r="B3" i="6"/>
  <c r="B16" i="6"/>
  <c r="E66" i="1"/>
  <c r="AK89" i="23" l="1"/>
  <c r="AK47" i="23"/>
  <c r="AK58" i="23"/>
  <c r="AK97" i="23"/>
  <c r="AK24" i="23"/>
  <c r="BD24" i="23" s="1"/>
  <c r="AX24" i="23" s="1"/>
  <c r="J22" i="1"/>
  <c r="F230" i="2"/>
  <c r="B227" i="2"/>
  <c r="B226" i="2"/>
  <c r="B194" i="2"/>
  <c r="B197" i="2"/>
  <c r="F6" i="17" s="1"/>
  <c r="S70" i="23"/>
  <c r="U70" i="23" s="1"/>
  <c r="AN70" i="23"/>
  <c r="BE70" i="23" s="1"/>
  <c r="S88" i="23"/>
  <c r="U88" i="23" s="1"/>
  <c r="AN88" i="23"/>
  <c r="BE88" i="23" s="1"/>
  <c r="S29" i="23"/>
  <c r="AN29" i="23"/>
  <c r="BE29" i="23" s="1"/>
  <c r="S24" i="23"/>
  <c r="AN24" i="23"/>
  <c r="BE24" i="23" s="1"/>
  <c r="S83" i="23"/>
  <c r="U83" i="23" s="1"/>
  <c r="AN83" i="23"/>
  <c r="BE83" i="23" s="1"/>
  <c r="S82" i="23"/>
  <c r="U82" i="23" s="1"/>
  <c r="AN82" i="23"/>
  <c r="BE82" i="23" s="1"/>
  <c r="S47" i="23"/>
  <c r="U47" i="23" s="1"/>
  <c r="AN47" i="23"/>
  <c r="BE47" i="23" s="1"/>
  <c r="S101" i="23"/>
  <c r="U101" i="23" s="1"/>
  <c r="AN101" i="23"/>
  <c r="BE101" i="23" s="1"/>
  <c r="S89" i="23"/>
  <c r="U89" i="23" s="1"/>
  <c r="AN89" i="23"/>
  <c r="BE89" i="23" s="1"/>
  <c r="S18" i="23"/>
  <c r="U18" i="23" s="1"/>
  <c r="AN18" i="23"/>
  <c r="BE18" i="23" s="1"/>
  <c r="S100" i="23"/>
  <c r="U100" i="23" s="1"/>
  <c r="AN100" i="23"/>
  <c r="BE100" i="23" s="1"/>
  <c r="S20" i="23"/>
  <c r="U20" i="23" s="1"/>
  <c r="AN20" i="23"/>
  <c r="BE20" i="23" s="1"/>
  <c r="S72" i="23"/>
  <c r="U72" i="23" s="1"/>
  <c r="AN72" i="23"/>
  <c r="BE72" i="23" s="1"/>
  <c r="S105" i="23"/>
  <c r="U105" i="23" s="1"/>
  <c r="AN105" i="23"/>
  <c r="S61" i="23"/>
  <c r="AN61" i="23"/>
  <c r="BE61" i="23" s="1"/>
  <c r="S9" i="23"/>
  <c r="AN9" i="23"/>
  <c r="BE9" i="23" s="1"/>
  <c r="S77" i="23"/>
  <c r="U77" i="23" s="1"/>
  <c r="AN77" i="23"/>
  <c r="BE77" i="23" s="1"/>
  <c r="S80" i="23"/>
  <c r="U80" i="23" s="1"/>
  <c r="AN80" i="23"/>
  <c r="BE80" i="23" s="1"/>
  <c r="S71" i="23"/>
  <c r="U71" i="23" s="1"/>
  <c r="AN71" i="23"/>
  <c r="BE71" i="23" s="1"/>
  <c r="S91" i="23"/>
  <c r="U91" i="23" s="1"/>
  <c r="AN91" i="23"/>
  <c r="BE91" i="23" s="1"/>
  <c r="S87" i="23"/>
  <c r="U87" i="23" s="1"/>
  <c r="AN87" i="23"/>
  <c r="BE87" i="23" s="1"/>
  <c r="S79" i="23"/>
  <c r="U79" i="23" s="1"/>
  <c r="AN79" i="23"/>
  <c r="BE79" i="23" s="1"/>
  <c r="S59" i="23"/>
  <c r="U59" i="23" s="1"/>
  <c r="AN59" i="23"/>
  <c r="BE59" i="23" s="1"/>
  <c r="S26" i="23"/>
  <c r="U26" i="23" s="1"/>
  <c r="AN26" i="23"/>
  <c r="BE26" i="23" s="1"/>
  <c r="S102" i="23"/>
  <c r="U102" i="23" s="1"/>
  <c r="AN102" i="23"/>
  <c r="BE102" i="23" s="1"/>
  <c r="S64" i="23"/>
  <c r="U64" i="23" s="1"/>
  <c r="AN64" i="23"/>
  <c r="BE64" i="23" s="1"/>
  <c r="S62" i="23"/>
  <c r="AN62" i="23"/>
  <c r="BE62" i="23" s="1"/>
  <c r="S60" i="23"/>
  <c r="U60" i="23" s="1"/>
  <c r="AN60" i="23"/>
  <c r="BE60" i="23" s="1"/>
  <c r="S57" i="23"/>
  <c r="U57" i="23" s="1"/>
  <c r="AN57" i="23"/>
  <c r="BE57" i="23" s="1"/>
  <c r="S28" i="23"/>
  <c r="U28" i="23" s="1"/>
  <c r="AN28" i="23"/>
  <c r="BE28" i="23" s="1"/>
  <c r="S107" i="23"/>
  <c r="U107" i="23" s="1"/>
  <c r="AN107" i="23"/>
  <c r="BE107" i="23" s="1"/>
  <c r="S93" i="23"/>
  <c r="U93" i="23" s="1"/>
  <c r="AN93" i="23"/>
  <c r="BE93" i="23" s="1"/>
  <c r="S17" i="23"/>
  <c r="U17" i="23" s="1"/>
  <c r="AN17" i="23"/>
  <c r="BE17" i="23" s="1"/>
  <c r="S36" i="23"/>
  <c r="U36" i="23" s="1"/>
  <c r="AN36" i="23"/>
  <c r="BE36" i="23" s="1"/>
  <c r="S75" i="23"/>
  <c r="U75" i="23" s="1"/>
  <c r="AN75" i="23"/>
  <c r="BE75" i="23" s="1"/>
  <c r="S84" i="23"/>
  <c r="U84" i="23" s="1"/>
  <c r="AN84" i="23"/>
  <c r="BE84" i="23" s="1"/>
  <c r="S97" i="23"/>
  <c r="U97" i="23" s="1"/>
  <c r="AN97" i="23"/>
  <c r="BE97" i="23" s="1"/>
  <c r="S34" i="23"/>
  <c r="U34" i="23" s="1"/>
  <c r="AN34" i="23"/>
  <c r="BE34" i="23" s="1"/>
  <c r="S10" i="23"/>
  <c r="U10" i="23" s="1"/>
  <c r="AN10" i="23"/>
  <c r="BE10" i="23" s="1"/>
  <c r="S43" i="23"/>
  <c r="U43" i="23" s="1"/>
  <c r="AN43" i="23"/>
  <c r="BE43" i="23" s="1"/>
  <c r="AN51" i="21"/>
  <c r="BE51" i="21" s="1"/>
  <c r="AN83" i="21"/>
  <c r="BE83" i="21" s="1"/>
  <c r="E355" i="2"/>
  <c r="C49" i="16" s="1"/>
  <c r="D355" i="2"/>
  <c r="E52" i="1"/>
  <c r="C54" i="16" s="1"/>
  <c r="D54" i="16" s="1"/>
  <c r="B134" i="2"/>
  <c r="B138" i="2" s="1"/>
  <c r="E48" i="1" s="1"/>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D209" i="2"/>
  <c r="D208" i="2"/>
  <c r="D199" i="2"/>
  <c r="BE86" i="21"/>
  <c r="S86" i="21"/>
  <c r="BE101" i="21"/>
  <c r="S101" i="21"/>
  <c r="BE50" i="21"/>
  <c r="S50" i="21"/>
  <c r="BE57" i="21"/>
  <c r="S57" i="21"/>
  <c r="BE52" i="21"/>
  <c r="S52" i="21"/>
  <c r="BE66" i="21"/>
  <c r="S66" i="21"/>
  <c r="BE59" i="21"/>
  <c r="S59" i="21"/>
  <c r="BE54" i="21"/>
  <c r="S54" i="21"/>
  <c r="BE58" i="21"/>
  <c r="S58" i="21"/>
  <c r="BE42" i="21"/>
  <c r="S42" i="21"/>
  <c r="BE23" i="21"/>
  <c r="S23" i="21"/>
  <c r="BE44" i="21"/>
  <c r="S44" i="21"/>
  <c r="BE99" i="21"/>
  <c r="S99" i="21"/>
  <c r="BE96" i="21"/>
  <c r="S96" i="21"/>
  <c r="BE94" i="21"/>
  <c r="S94" i="21"/>
  <c r="BE62" i="21"/>
  <c r="S62" i="21"/>
  <c r="BE72" i="21"/>
  <c r="S72" i="21"/>
  <c r="BE87" i="21"/>
  <c r="S87" i="21"/>
  <c r="BE93" i="21"/>
  <c r="S93" i="21"/>
  <c r="BE48" i="21"/>
  <c r="S48" i="21"/>
  <c r="BE97" i="21"/>
  <c r="S97" i="21"/>
  <c r="BE30" i="21"/>
  <c r="S30" i="21"/>
  <c r="BE61" i="21"/>
  <c r="S61" i="21"/>
  <c r="BE71" i="21"/>
  <c r="S71" i="21"/>
  <c r="BE81" i="21"/>
  <c r="S81" i="21"/>
  <c r="BE79" i="21"/>
  <c r="S79" i="21"/>
  <c r="BE11" i="21"/>
  <c r="S11" i="21"/>
  <c r="BE40" i="21"/>
  <c r="S40" i="21"/>
  <c r="BE100" i="21"/>
  <c r="S100" i="21"/>
  <c r="BE69" i="21"/>
  <c r="S69" i="21"/>
  <c r="BE56" i="21"/>
  <c r="S56" i="21"/>
  <c r="BE24" i="21"/>
  <c r="S24" i="21"/>
  <c r="BE106" i="21"/>
  <c r="S106" i="21"/>
  <c r="BE107" i="21"/>
  <c r="S107" i="21"/>
  <c r="BE53" i="21"/>
  <c r="S53" i="21"/>
  <c r="BE19" i="21"/>
  <c r="S19" i="21"/>
  <c r="BE55" i="21"/>
  <c r="S55" i="21"/>
  <c r="BE27" i="21"/>
  <c r="S27" i="21"/>
  <c r="BE95" i="21"/>
  <c r="S95" i="21"/>
  <c r="BE92" i="21"/>
  <c r="S92" i="21"/>
  <c r="BE21" i="21"/>
  <c r="S21" i="21"/>
  <c r="BE91" i="21"/>
  <c r="S91" i="21"/>
  <c r="BE29" i="21"/>
  <c r="S29" i="21"/>
  <c r="BE12" i="21"/>
  <c r="S12" i="21"/>
  <c r="BE25" i="21"/>
  <c r="S25" i="21"/>
  <c r="BE84" i="21"/>
  <c r="S84" i="21"/>
  <c r="BE20" i="21"/>
  <c r="S20" i="21"/>
  <c r="BE90" i="21"/>
  <c r="S90" i="21"/>
  <c r="BE15" i="21"/>
  <c r="S15" i="21"/>
  <c r="BE33" i="21"/>
  <c r="S33" i="21"/>
  <c r="BE88" i="21"/>
  <c r="S88" i="21"/>
  <c r="BE70" i="21"/>
  <c r="S70" i="21"/>
  <c r="BE45" i="21"/>
  <c r="S45" i="21"/>
  <c r="BE13" i="21"/>
  <c r="S13" i="21"/>
  <c r="BE78" i="21"/>
  <c r="S78" i="21"/>
  <c r="BE34" i="21"/>
  <c r="S34" i="21"/>
  <c r="BE63" i="21"/>
  <c r="S63" i="21"/>
  <c r="BE85" i="21"/>
  <c r="S85" i="21"/>
  <c r="BE89" i="21"/>
  <c r="S89" i="21"/>
  <c r="BE104" i="21"/>
  <c r="S104" i="21"/>
  <c r="BE41" i="21"/>
  <c r="S41" i="21"/>
  <c r="BE68" i="21"/>
  <c r="S68" i="21"/>
  <c r="BE36" i="21"/>
  <c r="S36" i="21"/>
  <c r="BE10" i="21"/>
  <c r="S10" i="21"/>
  <c r="BE98" i="21"/>
  <c r="S98" i="21"/>
  <c r="BE28" i="21"/>
  <c r="S28" i="21"/>
  <c r="BE74" i="21"/>
  <c r="S74" i="21"/>
  <c r="BE65" i="21"/>
  <c r="S65" i="21"/>
  <c r="BE73" i="21"/>
  <c r="S73" i="21"/>
  <c r="BE60" i="21"/>
  <c r="S60" i="21"/>
  <c r="BE32" i="21"/>
  <c r="S32" i="21"/>
  <c r="BE35" i="21"/>
  <c r="S35" i="21"/>
  <c r="BE67" i="21"/>
  <c r="S67" i="21"/>
  <c r="BE64" i="21"/>
  <c r="S64" i="21"/>
  <c r="AK9" i="23"/>
  <c r="BD9" i="23" s="1"/>
  <c r="AX9" i="23" s="1"/>
  <c r="BD72" i="23"/>
  <c r="AX72" i="23" s="1"/>
  <c r="AK105" i="23"/>
  <c r="BD105" i="23" s="1"/>
  <c r="AX105" i="23" s="1"/>
  <c r="D220" i="2"/>
  <c r="AI61" i="23"/>
  <c r="AI93" i="23"/>
  <c r="AI17" i="23"/>
  <c r="BE105" i="23"/>
  <c r="W79" i="23"/>
  <c r="X79" i="23" s="1"/>
  <c r="W20" i="23"/>
  <c r="X20" i="23" s="1"/>
  <c r="W71" i="23"/>
  <c r="X71" i="23" s="1"/>
  <c r="AC18" i="23"/>
  <c r="AI91" i="23"/>
  <c r="AI20" i="23"/>
  <c r="AC79" i="23"/>
  <c r="W97" i="23"/>
  <c r="X97" i="23" s="1"/>
  <c r="W62" i="23"/>
  <c r="X62" i="23" s="1"/>
  <c r="W70" i="23"/>
  <c r="X70" i="23" s="1"/>
  <c r="W28" i="23"/>
  <c r="X28" i="23" s="1"/>
  <c r="AI87" i="23"/>
  <c r="U29" i="23"/>
  <c r="W84" i="23"/>
  <c r="X84" i="23" s="1"/>
  <c r="W57" i="23"/>
  <c r="X57" i="23" s="1"/>
  <c r="W60" i="23"/>
  <c r="X60" i="23" s="1"/>
  <c r="AC28" i="23"/>
  <c r="W26" i="23"/>
  <c r="X26" i="23" s="1"/>
  <c r="W47" i="23"/>
  <c r="X47" i="23" s="1"/>
  <c r="W61" i="23"/>
  <c r="X61" i="23" s="1"/>
  <c r="W77" i="23"/>
  <c r="X77" i="23" s="1"/>
  <c r="BD97" i="23"/>
  <c r="AX97" i="23" s="1"/>
  <c r="B73" i="23"/>
  <c r="B45" i="23"/>
  <c r="B72" i="23"/>
  <c r="BD71" i="23"/>
  <c r="AX71" i="23" s="1"/>
  <c r="BD101" i="23"/>
  <c r="AX101" i="23" s="1"/>
  <c r="BD62" i="23"/>
  <c r="AX62" i="23" s="1"/>
  <c r="BD28" i="23"/>
  <c r="AX28" i="23" s="1"/>
  <c r="AH27" i="23"/>
  <c r="AI27" i="23" s="1"/>
  <c r="AK27" i="23" s="1"/>
  <c r="Y50" i="23"/>
  <c r="Z50" i="23" s="1"/>
  <c r="AA50" i="23" s="1"/>
  <c r="Y96" i="23"/>
  <c r="Z96" i="23" s="1"/>
  <c r="AA96" i="23" s="1"/>
  <c r="Y44" i="23"/>
  <c r="Z44" i="23" s="1"/>
  <c r="AA44" i="23" s="1"/>
  <c r="Y48" i="23"/>
  <c r="Z48" i="23" s="1"/>
  <c r="AA48" i="23" s="1"/>
  <c r="Y39" i="23"/>
  <c r="Z39" i="23" s="1"/>
  <c r="AA39" i="23" s="1"/>
  <c r="AB16" i="23"/>
  <c r="AC16" i="23" s="1"/>
  <c r="AH56" i="23"/>
  <c r="AI56" i="23" s="1"/>
  <c r="AH67" i="23"/>
  <c r="AI67" i="23" s="1"/>
  <c r="AK67" i="23" s="1"/>
  <c r="Y95" i="23"/>
  <c r="Z95" i="23" s="1"/>
  <c r="AA95" i="23" s="1"/>
  <c r="BD84" i="23"/>
  <c r="AX84" i="23" s="1"/>
  <c r="BD82" i="23"/>
  <c r="AX82" i="23" s="1"/>
  <c r="BD26" i="23"/>
  <c r="AX26" i="23" s="1"/>
  <c r="Y45" i="23"/>
  <c r="Z45" i="23" s="1"/>
  <c r="AA45" i="23" s="1"/>
  <c r="AH32" i="23"/>
  <c r="AI32" i="23" s="1"/>
  <c r="AK32" i="23" s="1"/>
  <c r="AB95" i="23"/>
  <c r="AC95" i="23" s="1"/>
  <c r="AH31" i="23"/>
  <c r="AI31" i="23" s="1"/>
  <c r="AH85" i="23"/>
  <c r="AI85" i="23" s="1"/>
  <c r="AK85" i="23" s="1"/>
  <c r="Y12" i="23"/>
  <c r="Z12" i="23" s="1"/>
  <c r="AA12" i="23" s="1"/>
  <c r="Y37" i="23"/>
  <c r="Z37" i="23" s="1"/>
  <c r="AA37" i="23" s="1"/>
  <c r="Y25" i="23"/>
  <c r="Z25" i="23" s="1"/>
  <c r="AA25" i="23" s="1"/>
  <c r="Y52" i="23"/>
  <c r="Z52" i="23" s="1"/>
  <c r="AA52" i="23" s="1"/>
  <c r="AH30" i="23"/>
  <c r="AI30" i="23" s="1"/>
  <c r="BD18" i="23"/>
  <c r="AX18" i="23" s="1"/>
  <c r="BD64" i="23"/>
  <c r="AX64" i="23" s="1"/>
  <c r="BD107" i="23"/>
  <c r="AX107" i="23" s="1"/>
  <c r="AB25" i="23"/>
  <c r="AC25" i="23" s="1"/>
  <c r="Y94" i="23"/>
  <c r="Z94" i="23" s="1"/>
  <c r="AA94" i="23" s="1"/>
  <c r="AH108" i="23"/>
  <c r="AI108" i="23" s="1"/>
  <c r="AH98" i="23"/>
  <c r="AI98" i="23" s="1"/>
  <c r="AK98" i="23" s="1"/>
  <c r="AB38" i="23"/>
  <c r="AC38" i="23" s="1"/>
  <c r="AH33" i="23"/>
  <c r="AI33" i="23" s="1"/>
  <c r="Y41" i="23"/>
  <c r="Z41" i="23" s="1"/>
  <c r="AA41" i="23" s="1"/>
  <c r="AB21" i="23"/>
  <c r="AC21" i="23" s="1"/>
  <c r="Y67" i="23"/>
  <c r="Z67" i="23" s="1"/>
  <c r="AA67" i="23" s="1"/>
  <c r="AB103" i="23"/>
  <c r="AC103" i="23" s="1"/>
  <c r="AB22" i="23"/>
  <c r="AC22" i="23" s="1"/>
  <c r="Y11" i="23"/>
  <c r="Z11" i="23" s="1"/>
  <c r="AA11" i="23" s="1"/>
  <c r="Y58" i="23"/>
  <c r="Z58" i="23" s="1"/>
  <c r="AA58" i="23" s="1"/>
  <c r="BD47" i="23"/>
  <c r="AX47" i="23" s="1"/>
  <c r="AB27" i="23"/>
  <c r="AC27" i="23" s="1"/>
  <c r="AH12" i="23"/>
  <c r="AI12" i="23" s="1"/>
  <c r="AK12" i="23" s="1"/>
  <c r="BD70" i="23"/>
  <c r="AX70" i="23" s="1"/>
  <c r="Y31" i="23"/>
  <c r="Z31" i="23" s="1"/>
  <c r="AA31" i="23" s="1"/>
  <c r="AB44" i="23"/>
  <c r="AC44" i="23" s="1"/>
  <c r="Y21" i="23"/>
  <c r="Z21" i="23" s="1"/>
  <c r="AA21" i="23" s="1"/>
  <c r="AB63" i="23"/>
  <c r="AC63" i="23" s="1"/>
  <c r="Y13" i="23"/>
  <c r="Z13" i="23" s="1"/>
  <c r="AA13" i="23" s="1"/>
  <c r="AH65" i="23"/>
  <c r="AI65" i="23" s="1"/>
  <c r="AH106" i="23"/>
  <c r="AI106" i="23" s="1"/>
  <c r="AK106" i="23" s="1"/>
  <c r="Y22" i="23"/>
  <c r="Z22" i="23" s="1"/>
  <c r="AA22" i="23" s="1"/>
  <c r="BD10" i="23"/>
  <c r="AX10" i="23" s="1"/>
  <c r="AH76" i="21"/>
  <c r="AF76" i="21"/>
  <c r="AB18" i="21"/>
  <c r="AF18" i="21"/>
  <c r="AB75" i="21"/>
  <c r="AF75" i="21"/>
  <c r="V53" i="23"/>
  <c r="R53" i="23"/>
  <c r="V35" i="23"/>
  <c r="R35" i="23"/>
  <c r="Y35" i="23"/>
  <c r="Z35" i="23" s="1"/>
  <c r="AA35" i="23" s="1"/>
  <c r="V81" i="23"/>
  <c r="R81" i="23"/>
  <c r="V49" i="23"/>
  <c r="R49" i="23"/>
  <c r="V19" i="23"/>
  <c r="R19" i="23"/>
  <c r="V69" i="23"/>
  <c r="R69" i="23"/>
  <c r="AH81" i="23"/>
  <c r="AI81" i="23" s="1"/>
  <c r="AK81" i="23" s="1"/>
  <c r="Y69" i="23"/>
  <c r="Z69" i="23" s="1"/>
  <c r="AA69" i="23" s="1"/>
  <c r="Y39" i="21"/>
  <c r="AF39" i="21"/>
  <c r="Y105" i="21"/>
  <c r="AF105" i="21"/>
  <c r="V15" i="23"/>
  <c r="R15" i="23"/>
  <c r="AB109" i="23"/>
  <c r="AC109" i="23" s="1"/>
  <c r="BD83" i="23"/>
  <c r="AX83" i="23" s="1"/>
  <c r="V14" i="23"/>
  <c r="R14" i="23"/>
  <c r="AB51" i="23"/>
  <c r="AC51" i="23" s="1"/>
  <c r="AH35" i="23"/>
  <c r="AI35" i="23" s="1"/>
  <c r="AK35" i="23" s="1"/>
  <c r="Y14" i="23"/>
  <c r="Z14" i="23" s="1"/>
  <c r="AA14" i="23" s="1"/>
  <c r="V23" i="23"/>
  <c r="BD23" i="23"/>
  <c r="AX23" i="23" s="1"/>
  <c r="R23" i="23"/>
  <c r="V55" i="23"/>
  <c r="R55" i="23"/>
  <c r="BD55" i="23"/>
  <c r="AX55" i="23" s="1"/>
  <c r="Y90" i="23"/>
  <c r="Z90" i="23" s="1"/>
  <c r="AA90" i="23" s="1"/>
  <c r="AB69" i="23"/>
  <c r="AC69" i="23" s="1"/>
  <c r="AB37" i="21"/>
  <c r="AF37" i="21"/>
  <c r="AB43" i="21"/>
  <c r="AF43" i="21"/>
  <c r="V38" i="23"/>
  <c r="BD38" i="23"/>
  <c r="AX38" i="23" s="1"/>
  <c r="R38" i="23"/>
  <c r="V40" i="23"/>
  <c r="R40" i="23"/>
  <c r="V108" i="23"/>
  <c r="R108" i="23"/>
  <c r="V30" i="23"/>
  <c r="R30" i="23"/>
  <c r="V37" i="23"/>
  <c r="R37" i="23"/>
  <c r="BD29" i="23"/>
  <c r="AX29" i="23" s="1"/>
  <c r="V46" i="23"/>
  <c r="R46" i="23"/>
  <c r="V104" i="23"/>
  <c r="BD104" i="23"/>
  <c r="AX104" i="23" s="1"/>
  <c r="R104" i="23"/>
  <c r="V99" i="23"/>
  <c r="BD99" i="23"/>
  <c r="AX99" i="23" s="1"/>
  <c r="R99" i="23"/>
  <c r="Y53" i="23"/>
  <c r="Z53" i="23" s="1"/>
  <c r="AA53" i="23" s="1"/>
  <c r="V32" i="23"/>
  <c r="R32" i="23"/>
  <c r="BD88" i="23"/>
  <c r="AX88" i="23" s="1"/>
  <c r="V58" i="23"/>
  <c r="R58" i="23"/>
  <c r="BD58" i="23"/>
  <c r="AX58" i="23" s="1"/>
  <c r="V56" i="23"/>
  <c r="R56" i="23"/>
  <c r="BD79" i="23"/>
  <c r="AX79" i="23" s="1"/>
  <c r="V73" i="23"/>
  <c r="R73" i="23"/>
  <c r="AH14" i="23"/>
  <c r="AI14" i="23" s="1"/>
  <c r="AK14" i="23" s="1"/>
  <c r="Y19" i="23"/>
  <c r="Z19" i="23" s="1"/>
  <c r="AA19" i="23" s="1"/>
  <c r="AB55" i="23"/>
  <c r="AC55" i="23" s="1"/>
  <c r="V78" i="23"/>
  <c r="R78" i="23"/>
  <c r="Y46" i="23"/>
  <c r="Z46" i="23" s="1"/>
  <c r="AA46" i="23" s="1"/>
  <c r="AB104" i="23"/>
  <c r="AC104" i="23" s="1"/>
  <c r="V54" i="23"/>
  <c r="R54" i="23"/>
  <c r="BD100" i="23"/>
  <c r="AX100" i="23" s="1"/>
  <c r="V41" i="23"/>
  <c r="BD41" i="23"/>
  <c r="AX41" i="23" s="1"/>
  <c r="R41" i="23"/>
  <c r="Y81" i="23"/>
  <c r="Z81" i="23" s="1"/>
  <c r="AA81" i="23" s="1"/>
  <c r="AH40" i="23"/>
  <c r="AI40" i="23" s="1"/>
  <c r="AK40" i="23" s="1"/>
  <c r="AH73" i="23"/>
  <c r="AI73" i="23" s="1"/>
  <c r="AK73" i="23" s="1"/>
  <c r="AH49" i="23"/>
  <c r="AI49" i="23" s="1"/>
  <c r="AK49" i="23" s="1"/>
  <c r="BD102" i="23"/>
  <c r="AX102" i="23" s="1"/>
  <c r="Y23" i="23"/>
  <c r="Z23" i="23" s="1"/>
  <c r="AA23" i="23" s="1"/>
  <c r="Y78" i="23"/>
  <c r="Z78" i="23" s="1"/>
  <c r="AA78" i="23" s="1"/>
  <c r="Y54" i="23"/>
  <c r="Z54" i="23" s="1"/>
  <c r="AA54" i="23" s="1"/>
  <c r="V11" i="23"/>
  <c r="BD11" i="23"/>
  <c r="AX11" i="23" s="1"/>
  <c r="R11" i="23"/>
  <c r="V52" i="23"/>
  <c r="BD52" i="23"/>
  <c r="AX52" i="23" s="1"/>
  <c r="R52" i="23"/>
  <c r="BD75" i="23"/>
  <c r="AX75" i="23" s="1"/>
  <c r="Y14" i="21"/>
  <c r="AF14" i="21"/>
  <c r="AH49" i="21"/>
  <c r="AF49" i="21"/>
  <c r="AH47" i="21"/>
  <c r="AF47" i="21"/>
  <c r="V42" i="23"/>
  <c r="R42" i="23"/>
  <c r="V76" i="23"/>
  <c r="R76" i="23"/>
  <c r="V109" i="23"/>
  <c r="R109" i="23"/>
  <c r="V51" i="23"/>
  <c r="R51" i="23"/>
  <c r="V92" i="23"/>
  <c r="R92" i="23"/>
  <c r="BD77" i="23"/>
  <c r="AX77" i="23" s="1"/>
  <c r="Y42" i="23"/>
  <c r="Z42" i="23" s="1"/>
  <c r="AA42" i="23" s="1"/>
  <c r="AB49" i="23"/>
  <c r="AC49" i="23" s="1"/>
  <c r="AH76" i="23"/>
  <c r="AI76" i="23" s="1"/>
  <c r="AK76" i="23" s="1"/>
  <c r="V90" i="23"/>
  <c r="BD90" i="23"/>
  <c r="AX90" i="23" s="1"/>
  <c r="R90" i="23"/>
  <c r="AH31" i="21"/>
  <c r="AF31" i="21"/>
  <c r="V33" i="23"/>
  <c r="R33" i="23"/>
  <c r="V74" i="23"/>
  <c r="R74" i="23"/>
  <c r="AB92" i="23"/>
  <c r="AC92" i="23" s="1"/>
  <c r="BD43" i="23"/>
  <c r="AX43" i="23" s="1"/>
  <c r="V96" i="23"/>
  <c r="R96" i="23"/>
  <c r="AH15" i="23"/>
  <c r="AI15" i="23" s="1"/>
  <c r="AK15" i="23" s="1"/>
  <c r="AB53" i="23"/>
  <c r="AC53" i="23" s="1"/>
  <c r="V65" i="23"/>
  <c r="R65" i="23"/>
  <c r="V98" i="23"/>
  <c r="R98" i="23"/>
  <c r="AH42" i="23"/>
  <c r="AI42" i="23" s="1"/>
  <c r="AK42" i="23" s="1"/>
  <c r="AB19" i="23"/>
  <c r="AC19" i="23" s="1"/>
  <c r="AH74" i="23"/>
  <c r="AI74" i="23" s="1"/>
  <c r="AK74" i="23" s="1"/>
  <c r="V68" i="23"/>
  <c r="R68" i="23"/>
  <c r="BD68" i="23"/>
  <c r="AX68" i="23" s="1"/>
  <c r="Y49" i="23"/>
  <c r="Z49" i="23" s="1"/>
  <c r="AA49" i="23" s="1"/>
  <c r="Y76" i="23"/>
  <c r="Z76" i="23" s="1"/>
  <c r="AA76" i="23" s="1"/>
  <c r="V103" i="23"/>
  <c r="R103" i="23"/>
  <c r="AB23" i="23"/>
  <c r="AC23" i="23" s="1"/>
  <c r="AH38" i="21"/>
  <c r="AF38" i="21"/>
  <c r="AH22" i="21"/>
  <c r="AF22" i="21"/>
  <c r="AH108" i="21"/>
  <c r="AF108" i="21"/>
  <c r="AH77" i="21"/>
  <c r="AF77" i="21"/>
  <c r="AB26" i="21"/>
  <c r="AF26" i="21"/>
  <c r="V45" i="23"/>
  <c r="BD45" i="23"/>
  <c r="AX45" i="23" s="1"/>
  <c r="R45" i="23"/>
  <c r="AH109" i="23"/>
  <c r="AI109" i="23" s="1"/>
  <c r="AK109" i="23" s="1"/>
  <c r="Y30" i="23"/>
  <c r="Z30" i="23" s="1"/>
  <c r="AA30" i="23" s="1"/>
  <c r="AH37" i="23"/>
  <c r="AI37" i="23" s="1"/>
  <c r="AK37" i="23" s="1"/>
  <c r="V31" i="23"/>
  <c r="R31" i="23"/>
  <c r="AH51" i="23"/>
  <c r="AI51" i="23" s="1"/>
  <c r="AK51" i="23" s="1"/>
  <c r="V85" i="23"/>
  <c r="R85" i="23"/>
  <c r="AH92" i="23"/>
  <c r="AI92" i="23" s="1"/>
  <c r="AK92" i="23" s="1"/>
  <c r="V44" i="23"/>
  <c r="BD44" i="23"/>
  <c r="AX44" i="23" s="1"/>
  <c r="R44" i="23"/>
  <c r="V50" i="23"/>
  <c r="BD50" i="23"/>
  <c r="AX50" i="23" s="1"/>
  <c r="R50" i="23"/>
  <c r="V95" i="23"/>
  <c r="BD95" i="23"/>
  <c r="AX95" i="23" s="1"/>
  <c r="R95" i="23"/>
  <c r="V27" i="23"/>
  <c r="R27" i="23"/>
  <c r="AB15" i="23"/>
  <c r="AC15" i="23" s="1"/>
  <c r="V25" i="23"/>
  <c r="BD25" i="23"/>
  <c r="AX25" i="23" s="1"/>
  <c r="R25" i="23"/>
  <c r="AB45" i="23"/>
  <c r="AC45" i="23" s="1"/>
  <c r="V67" i="23"/>
  <c r="R67" i="23"/>
  <c r="AH53" i="23"/>
  <c r="AI53" i="23" s="1"/>
  <c r="AK53" i="23" s="1"/>
  <c r="V94" i="23"/>
  <c r="BD94" i="23"/>
  <c r="AX94" i="23" s="1"/>
  <c r="R94" i="23"/>
  <c r="AB108" i="23"/>
  <c r="AC108" i="23" s="1"/>
  <c r="BD34" i="23"/>
  <c r="AX34" i="23" s="1"/>
  <c r="BD60" i="23"/>
  <c r="AX60" i="23" s="1"/>
  <c r="V66" i="23"/>
  <c r="R66" i="23"/>
  <c r="BD66" i="23"/>
  <c r="AX66" i="23" s="1"/>
  <c r="AB35" i="23"/>
  <c r="AC35" i="23" s="1"/>
  <c r="V16" i="23"/>
  <c r="R16" i="23"/>
  <c r="BD16" i="23"/>
  <c r="AX16" i="23" s="1"/>
  <c r="V48" i="23"/>
  <c r="R48" i="23"/>
  <c r="BD48" i="23"/>
  <c r="AX48" i="23" s="1"/>
  <c r="V86" i="23"/>
  <c r="R86" i="23"/>
  <c r="AH96" i="23"/>
  <c r="AI96" i="23" s="1"/>
  <c r="AK96" i="23" s="1"/>
  <c r="Y98" i="23"/>
  <c r="Z98" i="23" s="1"/>
  <c r="AA98" i="23" s="1"/>
  <c r="Y38" i="23"/>
  <c r="Z38" i="23" s="1"/>
  <c r="AA38" i="23" s="1"/>
  <c r="AB42" i="23"/>
  <c r="AC42" i="23" s="1"/>
  <c r="V21" i="23"/>
  <c r="BD21" i="23"/>
  <c r="AX21" i="23" s="1"/>
  <c r="R21" i="23"/>
  <c r="BD59" i="23"/>
  <c r="AX59" i="23" s="1"/>
  <c r="V63" i="23"/>
  <c r="BD63" i="23"/>
  <c r="AX63" i="23" s="1"/>
  <c r="R63" i="23"/>
  <c r="BD80" i="23"/>
  <c r="AX80" i="23" s="1"/>
  <c r="AB32" i="23"/>
  <c r="AC32" i="23" s="1"/>
  <c r="V13" i="23"/>
  <c r="R13" i="23"/>
  <c r="BD13" i="23"/>
  <c r="AX13" i="23" s="1"/>
  <c r="V12" i="23"/>
  <c r="R12" i="23"/>
  <c r="AH19" i="23"/>
  <c r="AI19" i="23" s="1"/>
  <c r="AK19" i="23" s="1"/>
  <c r="Y33" i="23"/>
  <c r="Z33" i="23" s="1"/>
  <c r="AA33" i="23" s="1"/>
  <c r="BD57" i="23"/>
  <c r="AX57" i="23" s="1"/>
  <c r="Y55" i="23"/>
  <c r="Z55" i="23" s="1"/>
  <c r="AA55" i="23" s="1"/>
  <c r="Y74" i="23"/>
  <c r="Z74" i="23" s="1"/>
  <c r="AA74" i="23" s="1"/>
  <c r="AB85" i="23"/>
  <c r="AC85" i="23" s="1"/>
  <c r="V106" i="23"/>
  <c r="R106" i="23"/>
  <c r="AH46" i="23"/>
  <c r="AI46" i="23" s="1"/>
  <c r="AK46" i="23" s="1"/>
  <c r="V22" i="23"/>
  <c r="BD22" i="23"/>
  <c r="AX22" i="23" s="1"/>
  <c r="R22" i="23"/>
  <c r="Y104" i="23"/>
  <c r="Z104" i="23" s="1"/>
  <c r="AA104" i="23" s="1"/>
  <c r="AB41" i="23"/>
  <c r="AC41" i="23" s="1"/>
  <c r="Y68" i="23"/>
  <c r="Z68" i="23" s="1"/>
  <c r="AA68" i="23" s="1"/>
  <c r="AB48" i="23"/>
  <c r="AC48" i="23" s="1"/>
  <c r="AB56" i="23"/>
  <c r="AC56" i="23" s="1"/>
  <c r="AH86" i="23"/>
  <c r="AI86" i="23" s="1"/>
  <c r="AK86" i="23" s="1"/>
  <c r="AB81" i="23"/>
  <c r="AC81" i="23" s="1"/>
  <c r="AB40" i="23"/>
  <c r="AC40" i="23" s="1"/>
  <c r="AB73" i="23"/>
  <c r="AC73" i="23" s="1"/>
  <c r="AH103" i="23"/>
  <c r="AI103" i="23" s="1"/>
  <c r="AK103" i="23" s="1"/>
  <c r="BD36" i="23"/>
  <c r="AX36" i="23" s="1"/>
  <c r="AB13" i="23"/>
  <c r="AC13" i="23" s="1"/>
  <c r="V39" i="23"/>
  <c r="BD39" i="23"/>
  <c r="AX39" i="23" s="1"/>
  <c r="R39" i="23"/>
  <c r="AB65" i="23"/>
  <c r="AC65" i="23" s="1"/>
  <c r="AH78" i="23"/>
  <c r="AI78" i="23" s="1"/>
  <c r="AK78" i="23" s="1"/>
  <c r="AB90" i="23"/>
  <c r="AC90" i="23" s="1"/>
  <c r="AB106" i="23"/>
  <c r="AC106" i="23" s="1"/>
  <c r="AH54" i="23"/>
  <c r="AI54" i="23" s="1"/>
  <c r="AK54" i="23" s="1"/>
  <c r="Y99" i="23"/>
  <c r="Z99" i="23" s="1"/>
  <c r="AA99" i="23" s="1"/>
  <c r="AH69" i="23"/>
  <c r="AI69" i="23" s="1"/>
  <c r="AK69" i="23" s="1"/>
  <c r="Y16" i="23"/>
  <c r="Z16" i="23" s="1"/>
  <c r="AA16" i="23" s="1"/>
  <c r="AB11" i="23"/>
  <c r="AC11" i="23" s="1"/>
  <c r="AB58" i="23"/>
  <c r="AC58" i="23" s="1"/>
  <c r="AB52" i="23"/>
  <c r="AC52" i="23" s="1"/>
  <c r="BD89" i="23"/>
  <c r="AX89" i="23" s="1"/>
  <c r="D319" i="2"/>
  <c r="D318" i="2"/>
  <c r="AH75" i="21"/>
  <c r="Y75" i="21"/>
  <c r="V103" i="21"/>
  <c r="AJ103" i="21"/>
  <c r="R103" i="21"/>
  <c r="AN103" i="21" s="1"/>
  <c r="V46" i="21"/>
  <c r="AJ46" i="21"/>
  <c r="R46" i="21"/>
  <c r="AN46" i="21" s="1"/>
  <c r="V16" i="21"/>
  <c r="R16" i="21"/>
  <c r="AN16" i="21" s="1"/>
  <c r="AJ16" i="21"/>
  <c r="V17" i="21"/>
  <c r="R17" i="21"/>
  <c r="AN17" i="21" s="1"/>
  <c r="AJ17" i="21"/>
  <c r="V109" i="21"/>
  <c r="AJ109" i="21"/>
  <c r="R109" i="21"/>
  <c r="AN109" i="21" s="1"/>
  <c r="V102" i="21"/>
  <c r="R102" i="21"/>
  <c r="AN102" i="21" s="1"/>
  <c r="AJ102" i="21"/>
  <c r="V82" i="21"/>
  <c r="R82" i="21"/>
  <c r="AN82" i="21" s="1"/>
  <c r="AJ82" i="21"/>
  <c r="Y16" i="21"/>
  <c r="Y49" i="21"/>
  <c r="AH17" i="21"/>
  <c r="AB76" i="21"/>
  <c r="Y109" i="21"/>
  <c r="Y26" i="21"/>
  <c r="AH14" i="21"/>
  <c r="AB102" i="21"/>
  <c r="AH18" i="21"/>
  <c r="Y38" i="21"/>
  <c r="AB105" i="21"/>
  <c r="Y22" i="21"/>
  <c r="Y43" i="21"/>
  <c r="V31" i="21"/>
  <c r="R31" i="21"/>
  <c r="AN31" i="21" s="1"/>
  <c r="AJ31" i="21"/>
  <c r="V39" i="21"/>
  <c r="R39" i="21"/>
  <c r="AN39" i="21" s="1"/>
  <c r="AJ39" i="21"/>
  <c r="Y46" i="21"/>
  <c r="V80" i="21"/>
  <c r="R80" i="21"/>
  <c r="AN80" i="21" s="1"/>
  <c r="AJ80" i="21"/>
  <c r="Y103" i="21"/>
  <c r="AB16" i="21"/>
  <c r="Y76" i="21"/>
  <c r="AH109" i="21"/>
  <c r="AB31" i="21"/>
  <c r="AH39" i="21"/>
  <c r="AH102" i="21"/>
  <c r="Y82" i="21"/>
  <c r="Y80" i="21"/>
  <c r="AH43" i="21"/>
  <c r="AB46" i="21"/>
  <c r="V22" i="21"/>
  <c r="AJ22" i="21"/>
  <c r="R22" i="21"/>
  <c r="AN22" i="21" s="1"/>
  <c r="V108" i="21"/>
  <c r="R108" i="21"/>
  <c r="AN108" i="21" s="1"/>
  <c r="AJ108" i="21"/>
  <c r="V77" i="21"/>
  <c r="R77" i="21"/>
  <c r="AN77" i="21" s="1"/>
  <c r="AJ77" i="21"/>
  <c r="V26" i="21"/>
  <c r="R26" i="21"/>
  <c r="AN26" i="21" s="1"/>
  <c r="AJ26" i="21"/>
  <c r="AB103" i="21"/>
  <c r="AH16" i="21"/>
  <c r="AB17" i="21"/>
  <c r="AB77" i="21"/>
  <c r="AH26" i="21"/>
  <c r="V47" i="21"/>
  <c r="AJ47" i="21"/>
  <c r="R47" i="21"/>
  <c r="AN47" i="21" s="1"/>
  <c r="V105" i="21"/>
  <c r="R105" i="21"/>
  <c r="AN105" i="21" s="1"/>
  <c r="AJ105" i="21"/>
  <c r="AB39" i="21"/>
  <c r="V37" i="21"/>
  <c r="AJ37" i="21"/>
  <c r="R37" i="21"/>
  <c r="AN37" i="21" s="1"/>
  <c r="AB82" i="21"/>
  <c r="Y47" i="21"/>
  <c r="AB80" i="21"/>
  <c r="AH105" i="21"/>
  <c r="AB108" i="21"/>
  <c r="Y37" i="21"/>
  <c r="V75" i="21"/>
  <c r="AJ75" i="21"/>
  <c r="R75" i="21"/>
  <c r="AN75" i="21" s="1"/>
  <c r="V38" i="21"/>
  <c r="AJ38" i="21"/>
  <c r="R38" i="21"/>
  <c r="AN38" i="21" s="1"/>
  <c r="AH46" i="21"/>
  <c r="V14" i="21"/>
  <c r="R14" i="21"/>
  <c r="AN14" i="21" s="1"/>
  <c r="AJ14" i="21"/>
  <c r="V49" i="21"/>
  <c r="R49" i="21"/>
  <c r="AN49" i="21" s="1"/>
  <c r="AJ49" i="21"/>
  <c r="V76" i="21"/>
  <c r="R76" i="21"/>
  <c r="AN76" i="21" s="1"/>
  <c r="AJ76" i="21"/>
  <c r="V18" i="21"/>
  <c r="AJ18" i="21"/>
  <c r="R18" i="21"/>
  <c r="AN18" i="21" s="1"/>
  <c r="AH103" i="21"/>
  <c r="AB49" i="21"/>
  <c r="Y17" i="21"/>
  <c r="AB109" i="21"/>
  <c r="Y77" i="21"/>
  <c r="AB14" i="21"/>
  <c r="Y31" i="21"/>
  <c r="Y102" i="21"/>
  <c r="AH82" i="21"/>
  <c r="Y18" i="21"/>
  <c r="AB38" i="21"/>
  <c r="AB47" i="21"/>
  <c r="AH80" i="21"/>
  <c r="AB22" i="21"/>
  <c r="Y108" i="21"/>
  <c r="AH37" i="21"/>
  <c r="V43" i="21"/>
  <c r="AJ43" i="21"/>
  <c r="R43" i="21"/>
  <c r="AN43" i="21" s="1"/>
  <c r="D216" i="2"/>
  <c r="D217" i="2" s="1"/>
  <c r="F623" i="17"/>
  <c r="B90" i="2"/>
  <c r="B107" i="2"/>
  <c r="B105" i="2"/>
  <c r="E21" i="1" s="1"/>
  <c r="A364" i="2"/>
  <c r="C68" i="16"/>
  <c r="D68" i="16" s="1"/>
  <c r="B328" i="2"/>
  <c r="B329" i="2" s="1"/>
  <c r="B198" i="2" l="1"/>
  <c r="B195" i="2"/>
  <c r="S48" i="23"/>
  <c r="U48" i="23" s="1"/>
  <c r="AN48" i="23"/>
  <c r="BE48" i="23" s="1"/>
  <c r="S96" i="23"/>
  <c r="U96" i="23" s="1"/>
  <c r="AN96" i="23"/>
  <c r="BE96" i="23" s="1"/>
  <c r="S78" i="23"/>
  <c r="U78" i="23" s="1"/>
  <c r="AN78" i="23"/>
  <c r="BE78" i="23" s="1"/>
  <c r="S56" i="23"/>
  <c r="U56" i="23" s="1"/>
  <c r="AN56" i="23"/>
  <c r="BE56" i="23" s="1"/>
  <c r="S40" i="23"/>
  <c r="U40" i="23" s="1"/>
  <c r="AN40" i="23"/>
  <c r="BE40" i="23" s="1"/>
  <c r="S15" i="23"/>
  <c r="U15" i="23" s="1"/>
  <c r="AN15" i="23"/>
  <c r="BE15" i="23" s="1"/>
  <c r="S69" i="23"/>
  <c r="U69" i="23" s="1"/>
  <c r="AN69" i="23"/>
  <c r="BE69" i="23" s="1"/>
  <c r="S39" i="23"/>
  <c r="AN39" i="23"/>
  <c r="BE39" i="23" s="1"/>
  <c r="S67" i="23"/>
  <c r="U67" i="23" s="1"/>
  <c r="AN67" i="23"/>
  <c r="BE67" i="23" s="1"/>
  <c r="S103" i="23"/>
  <c r="U103" i="23" s="1"/>
  <c r="AN103" i="23"/>
  <c r="BE103" i="23" s="1"/>
  <c r="S63" i="23"/>
  <c r="U63" i="23" s="1"/>
  <c r="AN63" i="23"/>
  <c r="BE63" i="23" s="1"/>
  <c r="S92" i="23"/>
  <c r="U92" i="23" s="1"/>
  <c r="AN92" i="23"/>
  <c r="BE92" i="23" s="1"/>
  <c r="S42" i="23"/>
  <c r="U42" i="23" s="1"/>
  <c r="AN42" i="23"/>
  <c r="BE42" i="23" s="1"/>
  <c r="S99" i="23"/>
  <c r="U99" i="23" s="1"/>
  <c r="AN99" i="23"/>
  <c r="BE99" i="23" s="1"/>
  <c r="S35" i="23"/>
  <c r="U35" i="23" s="1"/>
  <c r="AN35" i="23"/>
  <c r="BE35" i="23" s="1"/>
  <c r="S95" i="23"/>
  <c r="U95" i="23" s="1"/>
  <c r="AN95" i="23"/>
  <c r="BE95" i="23" s="1"/>
  <c r="S41" i="23"/>
  <c r="U41" i="23" s="1"/>
  <c r="AN41" i="23"/>
  <c r="BE41" i="23" s="1"/>
  <c r="S106" i="23"/>
  <c r="U106" i="23" s="1"/>
  <c r="AN106" i="23"/>
  <c r="BE106" i="23" s="1"/>
  <c r="S12" i="23"/>
  <c r="U12" i="23" s="1"/>
  <c r="AN12" i="23"/>
  <c r="BE12" i="23" s="1"/>
  <c r="S16" i="23"/>
  <c r="U16" i="23" s="1"/>
  <c r="AN16" i="23"/>
  <c r="BE16" i="23" s="1"/>
  <c r="S25" i="23"/>
  <c r="U25" i="23" s="1"/>
  <c r="AN25" i="23"/>
  <c r="BE25" i="23" s="1"/>
  <c r="S85" i="23"/>
  <c r="U85" i="23" s="1"/>
  <c r="AN85" i="23"/>
  <c r="BE85" i="23" s="1"/>
  <c r="S45" i="23"/>
  <c r="U45" i="23" s="1"/>
  <c r="AN45" i="23"/>
  <c r="BE45" i="23" s="1"/>
  <c r="S98" i="23"/>
  <c r="AN98" i="23"/>
  <c r="BE98" i="23" s="1"/>
  <c r="S90" i="23"/>
  <c r="U90" i="23" s="1"/>
  <c r="AN90" i="23"/>
  <c r="S52" i="23"/>
  <c r="U52" i="23" s="1"/>
  <c r="AN52" i="23"/>
  <c r="BE52" i="23" s="1"/>
  <c r="S37" i="23"/>
  <c r="U37" i="23" s="1"/>
  <c r="AN37" i="23"/>
  <c r="BE37" i="23" s="1"/>
  <c r="S38" i="23"/>
  <c r="U38" i="23" s="1"/>
  <c r="AN38" i="23"/>
  <c r="BE38" i="23" s="1"/>
  <c r="S19" i="23"/>
  <c r="U19" i="23" s="1"/>
  <c r="AN19" i="23"/>
  <c r="BE19" i="23" s="1"/>
  <c r="S76" i="23"/>
  <c r="U76" i="23" s="1"/>
  <c r="AN76" i="23"/>
  <c r="BE76" i="23" s="1"/>
  <c r="S46" i="23"/>
  <c r="U46" i="23" s="1"/>
  <c r="AN46" i="23"/>
  <c r="BE46" i="23" s="1"/>
  <c r="S94" i="23"/>
  <c r="U94" i="23" s="1"/>
  <c r="AN94" i="23"/>
  <c r="BE94" i="23" s="1"/>
  <c r="S50" i="23"/>
  <c r="U50" i="23" s="1"/>
  <c r="AN50" i="23"/>
  <c r="BE50" i="23" s="1"/>
  <c r="S51" i="23"/>
  <c r="U51" i="23" s="1"/>
  <c r="AN51" i="23"/>
  <c r="BE51" i="23" s="1"/>
  <c r="S58" i="23"/>
  <c r="U58" i="23" s="1"/>
  <c r="AN58" i="23"/>
  <c r="BE58" i="23" s="1"/>
  <c r="S53" i="23"/>
  <c r="AN53" i="23"/>
  <c r="BE53" i="23" s="1"/>
  <c r="S86" i="23"/>
  <c r="U86" i="23" s="1"/>
  <c r="AN86" i="23"/>
  <c r="S65" i="23"/>
  <c r="U65" i="23" s="1"/>
  <c r="AN65" i="23"/>
  <c r="BE65" i="23" s="1"/>
  <c r="S74" i="23"/>
  <c r="U74" i="23" s="1"/>
  <c r="AN74" i="23"/>
  <c r="BE74" i="23" s="1"/>
  <c r="S54" i="23"/>
  <c r="U54" i="23" s="1"/>
  <c r="AN54" i="23"/>
  <c r="BE54" i="23" s="1"/>
  <c r="S104" i="23"/>
  <c r="U104" i="23" s="1"/>
  <c r="AN104" i="23"/>
  <c r="BE104" i="23" s="1"/>
  <c r="S30" i="23"/>
  <c r="U30" i="23" s="1"/>
  <c r="AN30" i="23"/>
  <c r="BE30" i="23" s="1"/>
  <c r="S55" i="23"/>
  <c r="U55" i="23" s="1"/>
  <c r="AN55" i="23"/>
  <c r="BE55" i="23" s="1"/>
  <c r="S14" i="23"/>
  <c r="U14" i="23" s="1"/>
  <c r="AN14" i="23"/>
  <c r="BE14" i="23" s="1"/>
  <c r="S49" i="23"/>
  <c r="U49" i="23" s="1"/>
  <c r="AN49" i="23"/>
  <c r="BE49" i="23" s="1"/>
  <c r="S13" i="23"/>
  <c r="U13" i="23" s="1"/>
  <c r="AN13" i="23"/>
  <c r="BE13" i="23" s="1"/>
  <c r="S21" i="23"/>
  <c r="U21" i="23" s="1"/>
  <c r="AN21" i="23"/>
  <c r="BE21" i="23" s="1"/>
  <c r="S31" i="23"/>
  <c r="U31" i="23" s="1"/>
  <c r="AN31" i="23"/>
  <c r="BE31" i="23" s="1"/>
  <c r="S68" i="23"/>
  <c r="U68" i="23" s="1"/>
  <c r="AN68" i="23"/>
  <c r="S109" i="23"/>
  <c r="U109" i="23" s="1"/>
  <c r="AN109" i="23"/>
  <c r="BE109" i="23" s="1"/>
  <c r="S11" i="23"/>
  <c r="U11" i="23" s="1"/>
  <c r="AN11" i="23"/>
  <c r="BE11" i="23" s="1"/>
  <c r="S73" i="23"/>
  <c r="U73" i="23" s="1"/>
  <c r="AN73" i="23"/>
  <c r="BE73" i="23" s="1"/>
  <c r="S22" i="23"/>
  <c r="U22" i="23" s="1"/>
  <c r="AN22" i="23"/>
  <c r="BE22" i="23" s="1"/>
  <c r="S66" i="23"/>
  <c r="U66" i="23" s="1"/>
  <c r="AN66" i="23"/>
  <c r="BE66" i="23" s="1"/>
  <c r="S27" i="23"/>
  <c r="U27" i="23" s="1"/>
  <c r="AN27" i="23"/>
  <c r="BE27" i="23" s="1"/>
  <c r="S44" i="23"/>
  <c r="U44" i="23" s="1"/>
  <c r="AN44" i="23"/>
  <c r="BE44" i="23" s="1"/>
  <c r="S33" i="23"/>
  <c r="U33" i="23" s="1"/>
  <c r="AN33" i="23"/>
  <c r="BE33" i="23" s="1"/>
  <c r="S32" i="23"/>
  <c r="U32" i="23" s="1"/>
  <c r="AN32" i="23"/>
  <c r="BE32" i="23" s="1"/>
  <c r="S108" i="23"/>
  <c r="U108" i="23" s="1"/>
  <c r="AN108" i="23"/>
  <c r="BE108" i="23" s="1"/>
  <c r="S23" i="23"/>
  <c r="U23" i="23" s="1"/>
  <c r="AN23" i="23"/>
  <c r="BE23" i="23" s="1"/>
  <c r="S81" i="23"/>
  <c r="U81" i="23" s="1"/>
  <c r="AN81" i="23"/>
  <c r="BE81" i="23" s="1"/>
  <c r="N4" i="25"/>
  <c r="P628" i="25"/>
  <c r="F5" i="25"/>
  <c r="O628" i="25"/>
  <c r="P626" i="25"/>
  <c r="O626" i="25"/>
  <c r="P623" i="25"/>
  <c r="O623" i="25"/>
  <c r="Q3" i="25"/>
  <c r="F4" i="25"/>
  <c r="J61" i="1"/>
  <c r="K4" i="25"/>
  <c r="F75" i="1"/>
  <c r="C7" i="25"/>
  <c r="BE49" i="21"/>
  <c r="S49" i="21"/>
  <c r="BE18" i="21"/>
  <c r="S18" i="21"/>
  <c r="BE80" i="21"/>
  <c r="S80" i="21"/>
  <c r="BE17" i="21"/>
  <c r="S17" i="21"/>
  <c r="BE43" i="21"/>
  <c r="S43" i="21"/>
  <c r="BE38" i="21"/>
  <c r="S38" i="21"/>
  <c r="BE37" i="21"/>
  <c r="S37" i="21"/>
  <c r="BE26" i="21"/>
  <c r="S26" i="21"/>
  <c r="BE22" i="21"/>
  <c r="S22" i="21"/>
  <c r="BE46" i="21"/>
  <c r="S46" i="21"/>
  <c r="BE108" i="21"/>
  <c r="S108" i="21"/>
  <c r="BE31" i="21"/>
  <c r="S31" i="21"/>
  <c r="BE82" i="21"/>
  <c r="S82" i="21"/>
  <c r="BE16" i="21"/>
  <c r="S16" i="21"/>
  <c r="BE76" i="21"/>
  <c r="S76" i="21"/>
  <c r="BE75" i="21"/>
  <c r="S75" i="21"/>
  <c r="BE47" i="21"/>
  <c r="S47" i="21"/>
  <c r="U47" i="21" s="1"/>
  <c r="BE77" i="21"/>
  <c r="S77" i="21"/>
  <c r="BE39" i="21"/>
  <c r="S39" i="21"/>
  <c r="BE109" i="21"/>
  <c r="S109" i="21"/>
  <c r="U109" i="21" s="1"/>
  <c r="BE103" i="21"/>
  <c r="S103" i="21"/>
  <c r="BE14" i="21"/>
  <c r="S14" i="21"/>
  <c r="BE105" i="21"/>
  <c r="S105" i="21"/>
  <c r="U105" i="21" s="1"/>
  <c r="BE102" i="21"/>
  <c r="S102" i="21"/>
  <c r="U62" i="23"/>
  <c r="BA62" i="23" s="1"/>
  <c r="AK30" i="23"/>
  <c r="BD30" i="23" s="1"/>
  <c r="AX30" i="23" s="1"/>
  <c r="AK91" i="23"/>
  <c r="BD91" i="23" s="1"/>
  <c r="AX91" i="23" s="1"/>
  <c r="AK56" i="23"/>
  <c r="BD56" i="23" s="1"/>
  <c r="AX56" i="23" s="1"/>
  <c r="AK65" i="23"/>
  <c r="BD65" i="23" s="1"/>
  <c r="AX65" i="23" s="1"/>
  <c r="AK108" i="23"/>
  <c r="BD108" i="23" s="1"/>
  <c r="AX108" i="23" s="1"/>
  <c r="U61" i="23"/>
  <c r="BA61" i="23" s="1"/>
  <c r="AK87" i="23"/>
  <c r="BD87" i="23" s="1"/>
  <c r="AX87" i="23" s="1"/>
  <c r="AK20" i="23"/>
  <c r="BD20" i="23" s="1"/>
  <c r="AX20" i="23" s="1"/>
  <c r="U24" i="23"/>
  <c r="BA24" i="23" s="1"/>
  <c r="AK17" i="23"/>
  <c r="BD17" i="23" s="1"/>
  <c r="AX17" i="23" s="1"/>
  <c r="AK61" i="23"/>
  <c r="BD61" i="23" s="1"/>
  <c r="AX61" i="23" s="1"/>
  <c r="U9" i="23"/>
  <c r="BA9" i="23" s="1"/>
  <c r="AK33" i="23"/>
  <c r="BD33" i="23" s="1"/>
  <c r="AX33" i="23" s="1"/>
  <c r="AK31" i="23"/>
  <c r="BD31" i="23" s="1"/>
  <c r="AX31" i="23" s="1"/>
  <c r="AK93" i="23"/>
  <c r="BD93" i="23" s="1"/>
  <c r="AX93" i="23" s="1"/>
  <c r="D231" i="2"/>
  <c r="AD9" i="23"/>
  <c r="AG9" i="23" s="1"/>
  <c r="AD49" i="23"/>
  <c r="AG49" i="23" s="1"/>
  <c r="AD108" i="23"/>
  <c r="AG108" i="23" s="1"/>
  <c r="AD76" i="23"/>
  <c r="AG76" i="23" s="1"/>
  <c r="AD91" i="23"/>
  <c r="AG91" i="23" s="1"/>
  <c r="AD93" i="23"/>
  <c r="AG93" i="23" s="1"/>
  <c r="AD34" i="23"/>
  <c r="AG34" i="23" s="1"/>
  <c r="AD66" i="23"/>
  <c r="AG66" i="23" s="1"/>
  <c r="AD89" i="23"/>
  <c r="AG89" i="23" s="1"/>
  <c r="AD100" i="23"/>
  <c r="AG100" i="23" s="1"/>
  <c r="AD29" i="23"/>
  <c r="AG29" i="23" s="1"/>
  <c r="AD83" i="23"/>
  <c r="AG83" i="23" s="1"/>
  <c r="AD30" i="23"/>
  <c r="AG30" i="23" s="1"/>
  <c r="AD90" i="23"/>
  <c r="AG90" i="23" s="1"/>
  <c r="AD65" i="23"/>
  <c r="AG65" i="23" s="1"/>
  <c r="AD45" i="23"/>
  <c r="AG45" i="23" s="1"/>
  <c r="AD92" i="23"/>
  <c r="AG92" i="23" s="1"/>
  <c r="AD50" i="23"/>
  <c r="AG50" i="23" s="1"/>
  <c r="AD41" i="23"/>
  <c r="AG41" i="23" s="1"/>
  <c r="AD109" i="23"/>
  <c r="AG109" i="23" s="1"/>
  <c r="AD98" i="23"/>
  <c r="AG98" i="23" s="1"/>
  <c r="AD87" i="23"/>
  <c r="AG87" i="23" s="1"/>
  <c r="AD14" i="23"/>
  <c r="AG14" i="23" s="1"/>
  <c r="AD105" i="23"/>
  <c r="AG105" i="23" s="1"/>
  <c r="AD38" i="23"/>
  <c r="AG38" i="23" s="1"/>
  <c r="AD54" i="23"/>
  <c r="AG54" i="23" s="1"/>
  <c r="AD53" i="23"/>
  <c r="AG53" i="23" s="1"/>
  <c r="AD11" i="23"/>
  <c r="AG11" i="23" s="1"/>
  <c r="AD47" i="23"/>
  <c r="AG47" i="23" s="1"/>
  <c r="AD26" i="23"/>
  <c r="AG26" i="23" s="1"/>
  <c r="AD25" i="23"/>
  <c r="AG25" i="23" s="1"/>
  <c r="AD44" i="23"/>
  <c r="AG44" i="23" s="1"/>
  <c r="AD52" i="23"/>
  <c r="AG52" i="23" s="1"/>
  <c r="AD51" i="23"/>
  <c r="AG51" i="23" s="1"/>
  <c r="AD16" i="23"/>
  <c r="AG16" i="23" s="1"/>
  <c r="AD73" i="23"/>
  <c r="AG73" i="23" s="1"/>
  <c r="AD85" i="23"/>
  <c r="AG85" i="23" s="1"/>
  <c r="AD64" i="23"/>
  <c r="AG64" i="23" s="1"/>
  <c r="AD12" i="23"/>
  <c r="AG12" i="23" s="1"/>
  <c r="AD81" i="23"/>
  <c r="AG81" i="23" s="1"/>
  <c r="AD86" i="23"/>
  <c r="AG86" i="23" s="1"/>
  <c r="AD19" i="23"/>
  <c r="AG19" i="23" s="1"/>
  <c r="AD78" i="23"/>
  <c r="AG78" i="23" s="1"/>
  <c r="AD70" i="23"/>
  <c r="AG70" i="23" s="1"/>
  <c r="AD97" i="23"/>
  <c r="AG97" i="23" s="1"/>
  <c r="AD21" i="23"/>
  <c r="AG21" i="23" s="1"/>
  <c r="AD56" i="23"/>
  <c r="AG56" i="23" s="1"/>
  <c r="AD39" i="23"/>
  <c r="AG39" i="23" s="1"/>
  <c r="AD84" i="23"/>
  <c r="AG84" i="23" s="1"/>
  <c r="AD106" i="23"/>
  <c r="AG106" i="23" s="1"/>
  <c r="AD33" i="23"/>
  <c r="AG33" i="23" s="1"/>
  <c r="AD96" i="23"/>
  <c r="AG96" i="23" s="1"/>
  <c r="AD63" i="23"/>
  <c r="AD42" i="23"/>
  <c r="AG42" i="23" s="1"/>
  <c r="AD75" i="23"/>
  <c r="AG75" i="23" s="1"/>
  <c r="AD40" i="23"/>
  <c r="AG40" i="23" s="1"/>
  <c r="AD77" i="23"/>
  <c r="AG77" i="23" s="1"/>
  <c r="AD43" i="23"/>
  <c r="AG43" i="23" s="1"/>
  <c r="AD88" i="23"/>
  <c r="AG88" i="23" s="1"/>
  <c r="AD35" i="23"/>
  <c r="AG35" i="23" s="1"/>
  <c r="AD57" i="23"/>
  <c r="AG57" i="23" s="1"/>
  <c r="AD17" i="23"/>
  <c r="AG17" i="23" s="1"/>
  <c r="AD68" i="23"/>
  <c r="AG68" i="23" s="1"/>
  <c r="AD67" i="23"/>
  <c r="AG67" i="23" s="1"/>
  <c r="AD48" i="23"/>
  <c r="AG48" i="23" s="1"/>
  <c r="AD27" i="23"/>
  <c r="AG27" i="23" s="1"/>
  <c r="AD60" i="23"/>
  <c r="AG60" i="23" s="1"/>
  <c r="AD104" i="23"/>
  <c r="AG104" i="23" s="1"/>
  <c r="AD72" i="23"/>
  <c r="AD55" i="23"/>
  <c r="AG55" i="23" s="1"/>
  <c r="AD36" i="23"/>
  <c r="AG36" i="23" s="1"/>
  <c r="AD82" i="23"/>
  <c r="AG82" i="23" s="1"/>
  <c r="AD31" i="23"/>
  <c r="AG31" i="23" s="1"/>
  <c r="AD102" i="23"/>
  <c r="AG102" i="23" s="1"/>
  <c r="AD99" i="23"/>
  <c r="AG99" i="23" s="1"/>
  <c r="AD101" i="23"/>
  <c r="AG101" i="23" s="1"/>
  <c r="AD80" i="23"/>
  <c r="AG80" i="23" s="1"/>
  <c r="AD94" i="23"/>
  <c r="AG94" i="23" s="1"/>
  <c r="AD95" i="23"/>
  <c r="AG95" i="23" s="1"/>
  <c r="AD28" i="23"/>
  <c r="AG28" i="23" s="1"/>
  <c r="AD10" i="23"/>
  <c r="AG10" i="23" s="1"/>
  <c r="AD107" i="23"/>
  <c r="AG107" i="23" s="1"/>
  <c r="AD59" i="23"/>
  <c r="AG59" i="23" s="1"/>
  <c r="AD24" i="23"/>
  <c r="AG24" i="23" s="1"/>
  <c r="AD37" i="23"/>
  <c r="AG37" i="23" s="1"/>
  <c r="AD74" i="23"/>
  <c r="AG74" i="23" s="1"/>
  <c r="AD103" i="23"/>
  <c r="AG103" i="23" s="1"/>
  <c r="AD20" i="23"/>
  <c r="AG20" i="23" s="1"/>
  <c r="AD32" i="23"/>
  <c r="AG32" i="23" s="1"/>
  <c r="AD15" i="23"/>
  <c r="AG15" i="23" s="1"/>
  <c r="AD13" i="23"/>
  <c r="AG13" i="23" s="1"/>
  <c r="AD58" i="23"/>
  <c r="AG58" i="23" s="1"/>
  <c r="AD79" i="23"/>
  <c r="AG79" i="23" s="1"/>
  <c r="AD23" i="23"/>
  <c r="AG23" i="23" s="1"/>
  <c r="AD22" i="23"/>
  <c r="AG22" i="23" s="1"/>
  <c r="AD71" i="23"/>
  <c r="AG71" i="23" s="1"/>
  <c r="AD61" i="23"/>
  <c r="AG61" i="23" s="1"/>
  <c r="AD69" i="23"/>
  <c r="AG69" i="23" s="1"/>
  <c r="AD62" i="23"/>
  <c r="AG62" i="23" s="1"/>
  <c r="AD18" i="23"/>
  <c r="AG18" i="23" s="1"/>
  <c r="AD46" i="23"/>
  <c r="AG46" i="23" s="1"/>
  <c r="W106" i="23"/>
  <c r="X106" i="23" s="1"/>
  <c r="W13" i="23"/>
  <c r="X13" i="23" s="1"/>
  <c r="W86" i="23"/>
  <c r="X86" i="23" s="1"/>
  <c r="W94" i="23"/>
  <c r="X94" i="23" s="1"/>
  <c r="W45" i="23"/>
  <c r="X45" i="23" s="1"/>
  <c r="W68" i="23"/>
  <c r="X68" i="23" s="1"/>
  <c r="W98" i="23"/>
  <c r="X98" i="23" s="1"/>
  <c r="W74" i="23"/>
  <c r="X74" i="23" s="1"/>
  <c r="W33" i="23"/>
  <c r="X33" i="23" s="1"/>
  <c r="W76" i="23"/>
  <c r="X76" i="23" s="1"/>
  <c r="W52" i="23"/>
  <c r="X52" i="23" s="1"/>
  <c r="W99" i="23"/>
  <c r="X99" i="23" s="1"/>
  <c r="W46" i="23"/>
  <c r="X46" i="23" s="1"/>
  <c r="W37" i="23"/>
  <c r="X37" i="23" s="1"/>
  <c r="W108" i="23"/>
  <c r="X108" i="23" s="1"/>
  <c r="W40" i="23"/>
  <c r="X40" i="23" s="1"/>
  <c r="W38" i="23"/>
  <c r="X38" i="23" s="1"/>
  <c r="W55" i="23"/>
  <c r="X55" i="23" s="1"/>
  <c r="W15" i="23"/>
  <c r="X15" i="23" s="1"/>
  <c r="W81" i="23"/>
  <c r="X81" i="23" s="1"/>
  <c r="W39" i="23"/>
  <c r="X39" i="23" s="1"/>
  <c r="W22" i="23"/>
  <c r="X22" i="23" s="1"/>
  <c r="W12" i="23"/>
  <c r="X12" i="23" s="1"/>
  <c r="W63" i="23"/>
  <c r="X63" i="23" s="1"/>
  <c r="W21" i="23"/>
  <c r="X21" i="23" s="1"/>
  <c r="W66" i="23"/>
  <c r="X66" i="23" s="1"/>
  <c r="W27" i="23"/>
  <c r="X27" i="23" s="1"/>
  <c r="W95" i="23"/>
  <c r="X95" i="23" s="1"/>
  <c r="W85" i="23"/>
  <c r="X85" i="23" s="1"/>
  <c r="W31" i="23"/>
  <c r="X31" i="23" s="1"/>
  <c r="W65" i="23"/>
  <c r="X65" i="23" s="1"/>
  <c r="W96" i="23"/>
  <c r="X96" i="23" s="1"/>
  <c r="W90" i="23"/>
  <c r="X90" i="23" s="1"/>
  <c r="W51" i="23"/>
  <c r="X51" i="23" s="1"/>
  <c r="W109" i="23"/>
  <c r="X109" i="23" s="1"/>
  <c r="W104" i="23"/>
  <c r="X104" i="23" s="1"/>
  <c r="W30" i="23"/>
  <c r="X30" i="23" s="1"/>
  <c r="W35" i="23"/>
  <c r="X35" i="23" s="1"/>
  <c r="BE86" i="23"/>
  <c r="W16" i="23"/>
  <c r="X16" i="23" s="1"/>
  <c r="W67" i="23"/>
  <c r="X67" i="23" s="1"/>
  <c r="W25" i="23"/>
  <c r="X25" i="23" s="1"/>
  <c r="W50" i="23"/>
  <c r="X50" i="23" s="1"/>
  <c r="W44" i="23"/>
  <c r="X44" i="23" s="1"/>
  <c r="BE68" i="23"/>
  <c r="W42" i="23"/>
  <c r="X42" i="23" s="1"/>
  <c r="W41" i="23"/>
  <c r="X41" i="23" s="1"/>
  <c r="W54" i="23"/>
  <c r="X54" i="23" s="1"/>
  <c r="W58" i="23"/>
  <c r="X58" i="23" s="1"/>
  <c r="W14" i="23"/>
  <c r="X14" i="23" s="1"/>
  <c r="W69" i="23"/>
  <c r="X69" i="23" s="1"/>
  <c r="W19" i="23"/>
  <c r="X19" i="23" s="1"/>
  <c r="W49" i="23"/>
  <c r="X49" i="23" s="1"/>
  <c r="U53" i="23"/>
  <c r="U39" i="23"/>
  <c r="W48" i="23"/>
  <c r="X48" i="23" s="1"/>
  <c r="W103" i="23"/>
  <c r="X103" i="23" s="1"/>
  <c r="U98" i="23"/>
  <c r="BE90" i="23"/>
  <c r="W92" i="23"/>
  <c r="X92" i="23" s="1"/>
  <c r="W11" i="23"/>
  <c r="X11" i="23" s="1"/>
  <c r="W78" i="23"/>
  <c r="X78" i="23" s="1"/>
  <c r="W73" i="23"/>
  <c r="X73" i="23" s="1"/>
  <c r="W56" i="23"/>
  <c r="X56" i="23" s="1"/>
  <c r="W32" i="23"/>
  <c r="X32" i="23" s="1"/>
  <c r="W23" i="23"/>
  <c r="X23" i="23" s="1"/>
  <c r="W53" i="23"/>
  <c r="X53" i="23" s="1"/>
  <c r="BD67" i="23"/>
  <c r="AX67" i="23" s="1"/>
  <c r="BD27" i="23"/>
  <c r="AX27" i="23" s="1"/>
  <c r="BD98" i="23"/>
  <c r="AX98" i="23" s="1"/>
  <c r="BD32" i="23"/>
  <c r="AX32" i="23" s="1"/>
  <c r="BD85" i="23"/>
  <c r="AX85" i="23" s="1"/>
  <c r="BD103" i="23"/>
  <c r="AX103" i="23" s="1"/>
  <c r="BD78" i="23"/>
  <c r="AX78" i="23" s="1"/>
  <c r="BD86" i="23"/>
  <c r="AX86" i="23" s="1"/>
  <c r="BD12" i="23"/>
  <c r="AX12" i="23" s="1"/>
  <c r="BD106" i="23"/>
  <c r="AX106" i="23" s="1"/>
  <c r="BD51" i="23"/>
  <c r="AX51" i="23" s="1"/>
  <c r="BD54" i="23"/>
  <c r="AX54" i="23" s="1"/>
  <c r="BA89" i="23"/>
  <c r="BA97" i="23"/>
  <c r="BA75" i="23"/>
  <c r="BA80" i="23"/>
  <c r="BA36" i="23"/>
  <c r="BD92" i="23"/>
  <c r="AX92" i="23" s="1"/>
  <c r="BD76" i="23"/>
  <c r="AX76" i="23" s="1"/>
  <c r="BA72" i="23"/>
  <c r="BD53" i="23"/>
  <c r="AX53" i="23" s="1"/>
  <c r="BA105" i="23"/>
  <c r="BA91" i="23"/>
  <c r="BA60" i="23"/>
  <c r="BD96" i="23"/>
  <c r="AX96" i="23" s="1"/>
  <c r="BA20" i="23"/>
  <c r="BD74" i="23"/>
  <c r="AX74" i="23" s="1"/>
  <c r="BA70" i="23"/>
  <c r="BD109" i="23"/>
  <c r="AX109" i="23" s="1"/>
  <c r="BA34" i="23"/>
  <c r="BA102" i="23"/>
  <c r="BA79" i="23"/>
  <c r="BA107" i="23"/>
  <c r="BA77" i="23"/>
  <c r="BD15" i="23"/>
  <c r="AX15" i="23" s="1"/>
  <c r="BA10" i="23"/>
  <c r="BA71" i="23"/>
  <c r="BD42" i="23"/>
  <c r="AX42" i="23" s="1"/>
  <c r="BA29" i="23"/>
  <c r="BA47" i="23"/>
  <c r="BA17" i="23"/>
  <c r="BA18" i="23"/>
  <c r="BD37" i="23"/>
  <c r="AX37" i="23" s="1"/>
  <c r="BA43" i="23"/>
  <c r="BA88" i="23"/>
  <c r="BA82" i="23"/>
  <c r="BA83" i="23"/>
  <c r="BA28" i="23"/>
  <c r="BA26" i="23"/>
  <c r="BA101" i="23"/>
  <c r="BD69" i="23"/>
  <c r="AX69" i="23" s="1"/>
  <c r="BD35" i="23"/>
  <c r="AX35" i="23" s="1"/>
  <c r="BA84" i="23"/>
  <c r="BA59" i="23"/>
  <c r="BA93" i="23"/>
  <c r="BA64" i="23"/>
  <c r="BD73" i="23"/>
  <c r="AX73" i="23" s="1"/>
  <c r="BA57" i="23"/>
  <c r="BA100" i="23"/>
  <c r="BD46" i="23"/>
  <c r="AX46" i="23" s="1"/>
  <c r="BA87" i="23"/>
  <c r="BD40" i="23"/>
  <c r="AX40" i="23" s="1"/>
  <c r="BD14" i="23"/>
  <c r="AX14" i="23" s="1"/>
  <c r="BD19" i="23"/>
  <c r="AX19" i="23" s="1"/>
  <c r="BD49" i="23"/>
  <c r="AX49" i="23" s="1"/>
  <c r="BD81" i="23"/>
  <c r="AX81" i="23" s="1"/>
  <c r="B89" i="2"/>
  <c r="B92" i="2" s="1"/>
  <c r="B106" i="2"/>
  <c r="B88" i="2"/>
  <c r="B63" i="2"/>
  <c r="E30" i="1"/>
  <c r="AC77" i="21"/>
  <c r="AG77" i="21" s="1"/>
  <c r="AC11" i="21"/>
  <c r="AG11" i="21" s="1"/>
  <c r="AC86" i="21"/>
  <c r="AG86" i="21" s="1"/>
  <c r="AI56" i="21"/>
  <c r="Z81" i="21"/>
  <c r="AA81" i="21" s="1"/>
  <c r="U90" i="21"/>
  <c r="AC21" i="21"/>
  <c r="AG21" i="21" s="1"/>
  <c r="Z85" i="21"/>
  <c r="AA85" i="21" s="1"/>
  <c r="B155" i="2"/>
  <c r="E47" i="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49" i="2"/>
  <c r="B150" i="2" s="1"/>
  <c r="B144" i="2"/>
  <c r="B145" i="2" s="1"/>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4"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09" i="2" l="1"/>
  <c r="Q3" i="17" s="1"/>
  <c r="B216" i="2"/>
  <c r="B208" i="2"/>
  <c r="D354" i="2"/>
  <c r="E354" i="2"/>
  <c r="C48" i="16" s="1"/>
  <c r="AG72" i="23"/>
  <c r="BB72" i="23" s="1"/>
  <c r="AG63" i="23"/>
  <c r="BC63" i="23" s="1"/>
  <c r="AW63" i="23" s="1"/>
  <c r="E43" i="1"/>
  <c r="D235" i="2"/>
  <c r="BC74" i="23"/>
  <c r="AW74" i="23" s="1"/>
  <c r="AT107" i="23"/>
  <c r="AV107" i="23" s="1"/>
  <c r="AZ107" i="23" s="1"/>
  <c r="BC94" i="23"/>
  <c r="AW94" i="23" s="1"/>
  <c r="BC102" i="23"/>
  <c r="AW102" i="23" s="1"/>
  <c r="AT17" i="23"/>
  <c r="AV17" i="23" s="1"/>
  <c r="AZ17" i="23" s="1"/>
  <c r="BC43" i="23"/>
  <c r="AW43" i="23" s="1"/>
  <c r="BC21" i="23"/>
  <c r="AW21" i="23" s="1"/>
  <c r="BC19" i="23"/>
  <c r="AW19" i="23" s="1"/>
  <c r="BC64" i="23"/>
  <c r="AW64" i="23" s="1"/>
  <c r="BB26" i="23"/>
  <c r="BC54" i="23"/>
  <c r="AW54" i="23" s="1"/>
  <c r="BC50" i="23"/>
  <c r="AW50" i="23" s="1"/>
  <c r="BC90" i="23"/>
  <c r="AW90" i="23" s="1"/>
  <c r="BC100" i="23"/>
  <c r="AW100" i="23" s="1"/>
  <c r="AT93" i="23"/>
  <c r="AV93" i="23" s="1"/>
  <c r="AZ93" i="23" s="1"/>
  <c r="BC46" i="23"/>
  <c r="AW46" i="23" s="1"/>
  <c r="BC61" i="23"/>
  <c r="AW61" i="23" s="1"/>
  <c r="BC79" i="23"/>
  <c r="AW79" i="23" s="1"/>
  <c r="BC32" i="23"/>
  <c r="AW32" i="23" s="1"/>
  <c r="BC37" i="23"/>
  <c r="AW37" i="23" s="1"/>
  <c r="BC10" i="23"/>
  <c r="AW10" i="23" s="1"/>
  <c r="AT80" i="23"/>
  <c r="AV80" i="23" s="1"/>
  <c r="AZ80" i="23" s="1"/>
  <c r="BC31" i="23"/>
  <c r="AW31" i="23" s="1"/>
  <c r="AT57" i="23"/>
  <c r="AV57" i="23" s="1"/>
  <c r="AZ57" i="23" s="1"/>
  <c r="BC77" i="23"/>
  <c r="AW77" i="23" s="1"/>
  <c r="BC84" i="23"/>
  <c r="AW84" i="23" s="1"/>
  <c r="AT97" i="23"/>
  <c r="AV97" i="23" s="1"/>
  <c r="AZ97" i="23" s="1"/>
  <c r="BC86" i="23"/>
  <c r="AW86" i="23" s="1"/>
  <c r="BC47" i="23"/>
  <c r="AW47" i="23" s="1"/>
  <c r="BB38" i="23"/>
  <c r="BC98" i="23"/>
  <c r="AW98" i="23" s="1"/>
  <c r="BC30" i="23"/>
  <c r="AW30" i="23" s="1"/>
  <c r="BC89" i="23"/>
  <c r="AW89" i="23" s="1"/>
  <c r="BC91" i="23"/>
  <c r="AW91" i="23" s="1"/>
  <c r="BC18" i="23"/>
  <c r="AW18" i="23" s="1"/>
  <c r="AT71" i="23"/>
  <c r="AV71" i="23" s="1"/>
  <c r="AZ71" i="23" s="1"/>
  <c r="BB24" i="23"/>
  <c r="AT101" i="23"/>
  <c r="AV101" i="23" s="1"/>
  <c r="AZ101" i="23" s="1"/>
  <c r="BC82" i="23"/>
  <c r="AW82" i="23" s="1"/>
  <c r="BB67" i="23"/>
  <c r="BC35" i="23"/>
  <c r="AW35" i="23" s="1"/>
  <c r="BC96" i="23"/>
  <c r="AW96" i="23" s="1"/>
  <c r="BB39" i="23"/>
  <c r="BC70" i="23"/>
  <c r="AW70" i="23" s="1"/>
  <c r="BC44" i="23"/>
  <c r="AW44" i="23" s="1"/>
  <c r="AT105" i="23"/>
  <c r="AV105" i="23" s="1"/>
  <c r="AZ105" i="23" s="1"/>
  <c r="BC83" i="23"/>
  <c r="AW83" i="23" s="1"/>
  <c r="BB66" i="23"/>
  <c r="BC76" i="23"/>
  <c r="AW76" i="23" s="1"/>
  <c r="BC62" i="23"/>
  <c r="AW62" i="23" s="1"/>
  <c r="BC22" i="23"/>
  <c r="AW22" i="23" s="1"/>
  <c r="BB103" i="23"/>
  <c r="BC59" i="23"/>
  <c r="AW59" i="23" s="1"/>
  <c r="BC95" i="23"/>
  <c r="AW95" i="23" s="1"/>
  <c r="BB99" i="23"/>
  <c r="BB36" i="23"/>
  <c r="BC60" i="23"/>
  <c r="AW60" i="23" s="1"/>
  <c r="BB68" i="23"/>
  <c r="BC88" i="23"/>
  <c r="AW88" i="23" s="1"/>
  <c r="BC75" i="23"/>
  <c r="AW75" i="23" s="1"/>
  <c r="BB33" i="23"/>
  <c r="BC78" i="23"/>
  <c r="AW78" i="23" s="1"/>
  <c r="BC12" i="23"/>
  <c r="AW12" i="23" s="1"/>
  <c r="BB16" i="23"/>
  <c r="BC14" i="23"/>
  <c r="AW14" i="23" s="1"/>
  <c r="AT29" i="23"/>
  <c r="AV29" i="23" s="1"/>
  <c r="AZ29" i="23" s="1"/>
  <c r="BB34" i="23"/>
  <c r="AT108" i="23"/>
  <c r="AV108" i="23" s="1"/>
  <c r="AZ108" i="23" s="1"/>
  <c r="D219" i="2"/>
  <c r="J64" i="1" s="1"/>
  <c r="D236" i="2"/>
  <c r="BB27" i="23"/>
  <c r="BC27" i="23"/>
  <c r="AW27" i="23" s="1"/>
  <c r="BB25" i="23"/>
  <c r="BC25" i="23"/>
  <c r="AW25" i="23" s="1"/>
  <c r="BB65" i="23"/>
  <c r="BC65" i="23"/>
  <c r="AW65" i="23" s="1"/>
  <c r="BC20" i="23"/>
  <c r="AW20" i="23" s="1"/>
  <c r="BB20" i="23"/>
  <c r="BB28" i="23"/>
  <c r="BC28" i="23"/>
  <c r="AW28" i="23" s="1"/>
  <c r="AT28" i="23"/>
  <c r="AV28" i="23" s="1"/>
  <c r="AZ28" i="23" s="1"/>
  <c r="AT20" i="23"/>
  <c r="AV20" i="23" s="1"/>
  <c r="AZ20" i="23" s="1"/>
  <c r="BC87" i="23"/>
  <c r="AW87" i="23" s="1"/>
  <c r="BB87" i="23"/>
  <c r="AT87" i="23"/>
  <c r="AV87" i="23" s="1"/>
  <c r="AZ87" i="23" s="1"/>
  <c r="BB9" i="23"/>
  <c r="AT9" i="23"/>
  <c r="AV9" i="23" s="1"/>
  <c r="AZ9" i="23" s="1"/>
  <c r="BC9" i="23"/>
  <c r="AW9" i="23" s="1"/>
  <c r="BC69" i="23"/>
  <c r="AW69" i="23" s="1"/>
  <c r="BB69" i="23"/>
  <c r="BA30" i="23"/>
  <c r="BB56" i="23"/>
  <c r="BC56" i="23"/>
  <c r="AW56" i="23" s="1"/>
  <c r="BA65" i="23"/>
  <c r="AT65" i="23"/>
  <c r="AV65" i="23" s="1"/>
  <c r="AZ65" i="23" s="1"/>
  <c r="BC49" i="23"/>
  <c r="AW49" i="23" s="1"/>
  <c r="BB49" i="23"/>
  <c r="BA38" i="23"/>
  <c r="BA12" i="23"/>
  <c r="BA74" i="23"/>
  <c r="BC104" i="23"/>
  <c r="AW104" i="23" s="1"/>
  <c r="BB104" i="23"/>
  <c r="BA85" i="23"/>
  <c r="AT85" i="23"/>
  <c r="AV85" i="23" s="1"/>
  <c r="AZ85" i="23" s="1"/>
  <c r="BC23" i="23"/>
  <c r="AW23" i="23" s="1"/>
  <c r="BB23" i="23"/>
  <c r="BB11" i="23"/>
  <c r="BC11" i="23"/>
  <c r="AW11" i="23" s="1"/>
  <c r="BA52" i="23"/>
  <c r="AT52" i="23"/>
  <c r="AV52" i="23" s="1"/>
  <c r="AZ52" i="23" s="1"/>
  <c r="BA109" i="23"/>
  <c r="AT109" i="23"/>
  <c r="AV109" i="23" s="1"/>
  <c r="AT92" i="23"/>
  <c r="AV92" i="23" s="1"/>
  <c r="AZ92" i="23" s="1"/>
  <c r="BA92" i="23"/>
  <c r="BA108" i="23"/>
  <c r="BA99" i="23"/>
  <c r="BB58" i="23"/>
  <c r="BC58" i="23"/>
  <c r="AW58" i="23" s="1"/>
  <c r="BC45" i="23"/>
  <c r="AW45" i="23" s="1"/>
  <c r="BB45" i="23"/>
  <c r="BA21" i="23"/>
  <c r="BA106" i="23"/>
  <c r="AT106" i="23"/>
  <c r="AV106" i="23" s="1"/>
  <c r="AZ106" i="23" s="1"/>
  <c r="BA35" i="23"/>
  <c r="AT69" i="23"/>
  <c r="AV69" i="23" s="1"/>
  <c r="AZ69" i="23" s="1"/>
  <c r="BA69" i="23"/>
  <c r="BB40" i="23"/>
  <c r="BC40" i="23"/>
  <c r="AW40" i="23" s="1"/>
  <c r="BA32" i="23"/>
  <c r="AT42" i="23"/>
  <c r="AV42" i="23" s="1"/>
  <c r="AZ42" i="23" s="1"/>
  <c r="BA42" i="23"/>
  <c r="BA51" i="23"/>
  <c r="AT51" i="23"/>
  <c r="AV51" i="23" s="1"/>
  <c r="AZ51" i="23" s="1"/>
  <c r="BA16" i="23"/>
  <c r="BA86" i="23"/>
  <c r="BA63" i="23"/>
  <c r="AT41" i="23"/>
  <c r="AV41" i="23" s="1"/>
  <c r="AZ41" i="23" s="1"/>
  <c r="BA41" i="23"/>
  <c r="BA39" i="23"/>
  <c r="BC41" i="23"/>
  <c r="AW41" i="23" s="1"/>
  <c r="BB41" i="23"/>
  <c r="BC13" i="23"/>
  <c r="AW13" i="23" s="1"/>
  <c r="BB13" i="23"/>
  <c r="BA46" i="23"/>
  <c r="BA50" i="23"/>
  <c r="BA67" i="23"/>
  <c r="BC109" i="23"/>
  <c r="AW109" i="23" s="1"/>
  <c r="BB109" i="23"/>
  <c r="BC15" i="23"/>
  <c r="AW15" i="23" s="1"/>
  <c r="BB15" i="23"/>
  <c r="BB51" i="23"/>
  <c r="BC51" i="23"/>
  <c r="AW51" i="23" s="1"/>
  <c r="BA14" i="23"/>
  <c r="AT73" i="23"/>
  <c r="AV73" i="23" s="1"/>
  <c r="AZ73" i="23" s="1"/>
  <c r="BA73" i="23"/>
  <c r="BB81" i="23"/>
  <c r="BC81" i="23"/>
  <c r="AW81" i="23" s="1"/>
  <c r="BC73" i="23"/>
  <c r="AW73" i="23" s="1"/>
  <c r="BB73" i="23"/>
  <c r="BA76" i="23"/>
  <c r="BA56" i="23"/>
  <c r="AT56" i="23"/>
  <c r="AV56" i="23" s="1"/>
  <c r="AZ56" i="23" s="1"/>
  <c r="BA90" i="23"/>
  <c r="BA33" i="23"/>
  <c r="AT45" i="23"/>
  <c r="AV45" i="23" s="1"/>
  <c r="AZ45" i="23" s="1"/>
  <c r="BA45" i="23"/>
  <c r="BA53" i="23"/>
  <c r="AT53" i="23"/>
  <c r="AV53" i="23" s="1"/>
  <c r="AZ53" i="23" s="1"/>
  <c r="BA68" i="23"/>
  <c r="BA44" i="23"/>
  <c r="BB55" i="23"/>
  <c r="BC55" i="23"/>
  <c r="AW55" i="23" s="1"/>
  <c r="BA37" i="23"/>
  <c r="BA54" i="23"/>
  <c r="BC42" i="23"/>
  <c r="AW42" i="23" s="1"/>
  <c r="BB42" i="23"/>
  <c r="BC92" i="23"/>
  <c r="AW92" i="23" s="1"/>
  <c r="BB92" i="23"/>
  <c r="BA98" i="23"/>
  <c r="BA95" i="23"/>
  <c r="BA81" i="23"/>
  <c r="AT81" i="23"/>
  <c r="AV81" i="23" s="1"/>
  <c r="AZ81" i="23" s="1"/>
  <c r="BA15" i="23"/>
  <c r="AT15" i="23"/>
  <c r="AV15" i="23" s="1"/>
  <c r="AZ15" i="23" s="1"/>
  <c r="AT40" i="23"/>
  <c r="AV40" i="23" s="1"/>
  <c r="AZ40" i="23" s="1"/>
  <c r="BA40" i="23"/>
  <c r="AT104" i="23"/>
  <c r="AV104" i="23" s="1"/>
  <c r="AZ104" i="23" s="1"/>
  <c r="BA104" i="23"/>
  <c r="BA11" i="23"/>
  <c r="AT11" i="23"/>
  <c r="AV11" i="23" s="1"/>
  <c r="AZ11" i="23" s="1"/>
  <c r="BA31" i="23"/>
  <c r="AT13" i="23"/>
  <c r="AV13" i="23" s="1"/>
  <c r="AZ13" i="23" s="1"/>
  <c r="BA13" i="23"/>
  <c r="BA22" i="23"/>
  <c r="BA27" i="23"/>
  <c r="AT27" i="23"/>
  <c r="AV27" i="23" s="1"/>
  <c r="AZ27" i="23" s="1"/>
  <c r="BC53" i="23"/>
  <c r="AW53" i="23" s="1"/>
  <c r="BB53" i="23"/>
  <c r="BA49" i="23"/>
  <c r="AT49" i="23"/>
  <c r="AV49" i="23" s="1"/>
  <c r="AZ49" i="23" s="1"/>
  <c r="BA55" i="23"/>
  <c r="AT55" i="23"/>
  <c r="AV55" i="23" s="1"/>
  <c r="AZ55" i="23" s="1"/>
  <c r="BA78" i="23"/>
  <c r="BB52" i="23"/>
  <c r="BC52" i="23"/>
  <c r="AW52" i="23" s="1"/>
  <c r="BA103" i="23"/>
  <c r="BB85" i="23"/>
  <c r="BC85" i="23"/>
  <c r="AW85" i="23" s="1"/>
  <c r="BA25" i="23"/>
  <c r="AT25" i="23"/>
  <c r="AV25" i="23" s="1"/>
  <c r="AZ25" i="23" s="1"/>
  <c r="BA94" i="23"/>
  <c r="BB48" i="23"/>
  <c r="BC48" i="23"/>
  <c r="AW48" i="23" s="1"/>
  <c r="BA23" i="23"/>
  <c r="AT23" i="23"/>
  <c r="AV23" i="23" s="1"/>
  <c r="AZ23" i="23" s="1"/>
  <c r="BA58" i="23"/>
  <c r="AT58" i="23"/>
  <c r="AV58" i="23" s="1"/>
  <c r="AZ58" i="23" s="1"/>
  <c r="BA66" i="23"/>
  <c r="BB106" i="23"/>
  <c r="BC106" i="23"/>
  <c r="AW106" i="23" s="1"/>
  <c r="BA19" i="23"/>
  <c r="BA96" i="23"/>
  <c r="BA48" i="23"/>
  <c r="AT48" i="23"/>
  <c r="AV48" i="23" s="1"/>
  <c r="AZ48" i="23" s="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2" i="1"/>
  <c r="E18" i="1"/>
  <c r="F4" i="17"/>
  <c r="E23" i="1"/>
  <c r="B72" i="1"/>
  <c r="E34" i="1"/>
  <c r="B125" i="2"/>
  <c r="L126" i="2" s="1"/>
  <c r="L127" i="2"/>
  <c r="K126" i="2"/>
  <c r="E45" i="1"/>
  <c r="B199" i="2"/>
  <c r="N4" i="17" s="1"/>
  <c r="F7" i="17"/>
  <c r="B217" i="2"/>
  <c r="H120" i="2"/>
  <c r="D48" i="16" l="1"/>
  <c r="BC72" i="23"/>
  <c r="AW72" i="23" s="1"/>
  <c r="AT63" i="23"/>
  <c r="AV63" i="23" s="1"/>
  <c r="AZ63" i="23" s="1"/>
  <c r="AT72" i="23"/>
  <c r="AV72" i="23" s="1"/>
  <c r="AZ72" i="23" s="1"/>
  <c r="BB63" i="23"/>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AT35" i="23"/>
  <c r="AV35" i="23" s="1"/>
  <c r="AZ35" i="23" s="1"/>
  <c r="AT44" i="23"/>
  <c r="AV44" i="23" s="1"/>
  <c r="AZ44" i="23" s="1"/>
  <c r="BB76" i="23"/>
  <c r="F73" i="1"/>
  <c r="C5" i="25"/>
  <c r="F74" i="1"/>
  <c r="C4" i="25"/>
  <c r="F5" i="17"/>
  <c r="C632" i="25"/>
  <c r="D612" i="25"/>
  <c r="D610" i="25"/>
  <c r="A622" i="25"/>
  <c r="C612" i="25"/>
  <c r="C610" i="25"/>
  <c r="C613" i="25"/>
  <c r="C611" i="25"/>
  <c r="C609" i="25"/>
  <c r="C607" i="25"/>
  <c r="D613" i="25"/>
  <c r="C606" i="25"/>
  <c r="C604" i="25"/>
  <c r="C602" i="25"/>
  <c r="C600" i="25"/>
  <c r="C598" i="25"/>
  <c r="D605" i="25"/>
  <c r="D603" i="25"/>
  <c r="D601" i="25"/>
  <c r="D599" i="25"/>
  <c r="D597" i="25"/>
  <c r="D611" i="25"/>
  <c r="D609" i="25"/>
  <c r="C608" i="25"/>
  <c r="D607" i="25"/>
  <c r="D606" i="25"/>
  <c r="D604" i="25"/>
  <c r="D602" i="25"/>
  <c r="D600" i="25"/>
  <c r="D598" i="25"/>
  <c r="D596" i="25"/>
  <c r="D594" i="25"/>
  <c r="C599" i="25"/>
  <c r="C596" i="25"/>
  <c r="C595" i="25"/>
  <c r="D593" i="25"/>
  <c r="D591" i="25"/>
  <c r="D589" i="25"/>
  <c r="D587" i="25"/>
  <c r="D585" i="25"/>
  <c r="C601" i="25"/>
  <c r="C594" i="25"/>
  <c r="C593" i="25"/>
  <c r="C591" i="25"/>
  <c r="C589" i="25"/>
  <c r="C587" i="25"/>
  <c r="C585" i="25"/>
  <c r="D608" i="25"/>
  <c r="C605" i="25"/>
  <c r="C597" i="25"/>
  <c r="D595" i="25"/>
  <c r="C592" i="25"/>
  <c r="C590" i="25"/>
  <c r="C588" i="25"/>
  <c r="C586" i="25"/>
  <c r="C584" i="25"/>
  <c r="C582" i="25"/>
  <c r="C580" i="25"/>
  <c r="C578" i="25"/>
  <c r="D588" i="25"/>
  <c r="D584" i="25"/>
  <c r="D583" i="25"/>
  <c r="C576" i="25"/>
  <c r="C574" i="25"/>
  <c r="C572" i="25"/>
  <c r="C570" i="25"/>
  <c r="C568" i="25"/>
  <c r="C566" i="25"/>
  <c r="C564" i="25"/>
  <c r="C562" i="25"/>
  <c r="C560" i="25"/>
  <c r="C558" i="25"/>
  <c r="D590" i="25"/>
  <c r="C583" i="25"/>
  <c r="D582" i="25"/>
  <c r="D581" i="25"/>
  <c r="D577" i="25"/>
  <c r="D575" i="25"/>
  <c r="D573" i="25"/>
  <c r="D571" i="25"/>
  <c r="D569" i="25"/>
  <c r="D567" i="25"/>
  <c r="D565" i="25"/>
  <c r="C603" i="25"/>
  <c r="D586" i="25"/>
  <c r="C579" i="25"/>
  <c r="D578" i="25"/>
  <c r="D576" i="25"/>
  <c r="D574" i="25"/>
  <c r="D572" i="25"/>
  <c r="D570" i="25"/>
  <c r="D568" i="25"/>
  <c r="D566" i="25"/>
  <c r="D592" i="25"/>
  <c r="C571" i="25"/>
  <c r="C563" i="25"/>
  <c r="D562" i="25"/>
  <c r="D561" i="25"/>
  <c r="C555" i="25"/>
  <c r="C553" i="25"/>
  <c r="C551" i="25"/>
  <c r="C549" i="25"/>
  <c r="C547" i="25"/>
  <c r="C545" i="25"/>
  <c r="C543" i="25"/>
  <c r="C541" i="25"/>
  <c r="C539" i="25"/>
  <c r="C537" i="25"/>
  <c r="C535" i="25"/>
  <c r="C533" i="25"/>
  <c r="C531" i="25"/>
  <c r="C529" i="25"/>
  <c r="C527" i="25"/>
  <c r="C581" i="25"/>
  <c r="D580" i="25"/>
  <c r="C573" i="25"/>
  <c r="C565" i="25"/>
  <c r="C561" i="25"/>
  <c r="D560" i="25"/>
  <c r="D559" i="25"/>
  <c r="D556" i="25"/>
  <c r="D554" i="25"/>
  <c r="D552" i="25"/>
  <c r="D550" i="25"/>
  <c r="D548" i="25"/>
  <c r="D546" i="25"/>
  <c r="D544" i="25"/>
  <c r="D542" i="25"/>
  <c r="D540" i="25"/>
  <c r="C577" i="25"/>
  <c r="C569" i="25"/>
  <c r="D564" i="25"/>
  <c r="D563" i="25"/>
  <c r="C557" i="25"/>
  <c r="D555" i="25"/>
  <c r="D553" i="25"/>
  <c r="D551" i="25"/>
  <c r="D549" i="25"/>
  <c r="D547" i="25"/>
  <c r="D545" i="25"/>
  <c r="D543" i="25"/>
  <c r="D541" i="25"/>
  <c r="C559" i="25"/>
  <c r="D558" i="25"/>
  <c r="C552" i="25"/>
  <c r="C544" i="25"/>
  <c r="D539" i="25"/>
  <c r="C534" i="25"/>
  <c r="D533" i="25"/>
  <c r="D532" i="25"/>
  <c r="C526" i="25"/>
  <c r="D525" i="25"/>
  <c r="D557" i="25"/>
  <c r="C554" i="25"/>
  <c r="C546" i="25"/>
  <c r="D538" i="25"/>
  <c r="C532" i="25"/>
  <c r="D531" i="25"/>
  <c r="D530" i="25"/>
  <c r="C525" i="25"/>
  <c r="D579" i="25"/>
  <c r="C575" i="25"/>
  <c r="C550" i="25"/>
  <c r="C542" i="25"/>
  <c r="C536" i="25"/>
  <c r="D535" i="25"/>
  <c r="D534" i="25"/>
  <c r="C528" i="25"/>
  <c r="D527" i="25"/>
  <c r="D526" i="25"/>
  <c r="C524" i="25"/>
  <c r="C522" i="25"/>
  <c r="C520" i="25"/>
  <c r="C518" i="25"/>
  <c r="C516" i="25"/>
  <c r="C514" i="25"/>
  <c r="C512" i="25"/>
  <c r="C567" i="25"/>
  <c r="C521" i="25"/>
  <c r="D520" i="25"/>
  <c r="D519" i="25"/>
  <c r="C513" i="25"/>
  <c r="D512" i="25"/>
  <c r="C511" i="25"/>
  <c r="C509" i="25"/>
  <c r="C507" i="25"/>
  <c r="C505" i="25"/>
  <c r="C503" i="25"/>
  <c r="C501" i="25"/>
  <c r="C499" i="25"/>
  <c r="C497" i="25"/>
  <c r="C495" i="25"/>
  <c r="C493" i="25"/>
  <c r="C491" i="25"/>
  <c r="C489" i="25"/>
  <c r="C487" i="25"/>
  <c r="C485" i="25"/>
  <c r="C483" i="25"/>
  <c r="C481" i="25"/>
  <c r="C479" i="25"/>
  <c r="C477" i="25"/>
  <c r="C475" i="25"/>
  <c r="C473" i="25"/>
  <c r="C471" i="25"/>
  <c r="C469" i="25"/>
  <c r="C467" i="25"/>
  <c r="C465" i="25"/>
  <c r="C540" i="25"/>
  <c r="C538" i="25"/>
  <c r="D537" i="25"/>
  <c r="C519" i="25"/>
  <c r="D518" i="25"/>
  <c r="D517" i="25"/>
  <c r="D510" i="25"/>
  <c r="D508" i="25"/>
  <c r="D506" i="25"/>
  <c r="D504" i="25"/>
  <c r="D502" i="25"/>
  <c r="D500" i="25"/>
  <c r="D498" i="25"/>
  <c r="D496" i="25"/>
  <c r="D494" i="25"/>
  <c r="D492" i="25"/>
  <c r="D490" i="25"/>
  <c r="D488" i="25"/>
  <c r="D486" i="25"/>
  <c r="D484" i="25"/>
  <c r="C556" i="25"/>
  <c r="D528" i="25"/>
  <c r="C523" i="25"/>
  <c r="D522" i="25"/>
  <c r="D521" i="25"/>
  <c r="C515" i="25"/>
  <c r="D514" i="25"/>
  <c r="D513" i="25"/>
  <c r="D511" i="25"/>
  <c r="D509" i="25"/>
  <c r="D507" i="25"/>
  <c r="D505" i="25"/>
  <c r="D503" i="25"/>
  <c r="D501" i="25"/>
  <c r="D499" i="25"/>
  <c r="D497" i="25"/>
  <c r="D495" i="25"/>
  <c r="D493" i="25"/>
  <c r="D491" i="25"/>
  <c r="D489" i="25"/>
  <c r="D487" i="25"/>
  <c r="D485" i="25"/>
  <c r="C548" i="25"/>
  <c r="C504" i="25"/>
  <c r="C496" i="25"/>
  <c r="C488" i="25"/>
  <c r="D483" i="25"/>
  <c r="C478" i="25"/>
  <c r="D477" i="25"/>
  <c r="D476" i="25"/>
  <c r="C470" i="25"/>
  <c r="D469" i="25"/>
  <c r="D468" i="25"/>
  <c r="D464" i="25"/>
  <c r="D462" i="25"/>
  <c r="D460" i="25"/>
  <c r="D458" i="25"/>
  <c r="D456" i="25"/>
  <c r="D454" i="25"/>
  <c r="D452" i="25"/>
  <c r="D450" i="25"/>
  <c r="D448" i="25"/>
  <c r="D446" i="25"/>
  <c r="D444" i="25"/>
  <c r="D442" i="25"/>
  <c r="D440" i="25"/>
  <c r="D438" i="25"/>
  <c r="D436" i="25"/>
  <c r="D434" i="25"/>
  <c r="D432" i="25"/>
  <c r="D430" i="25"/>
  <c r="D428" i="25"/>
  <c r="D426" i="25"/>
  <c r="D424" i="25"/>
  <c r="D422" i="25"/>
  <c r="D420" i="25"/>
  <c r="D418" i="25"/>
  <c r="D416" i="25"/>
  <c r="D414" i="25"/>
  <c r="D412" i="25"/>
  <c r="D410" i="25"/>
  <c r="D408" i="25"/>
  <c r="D406" i="25"/>
  <c r="D404" i="25"/>
  <c r="D402" i="25"/>
  <c r="D536" i="25"/>
  <c r="C530" i="25"/>
  <c r="D524" i="25"/>
  <c r="D523" i="25"/>
  <c r="C517" i="25"/>
  <c r="D516" i="25"/>
  <c r="C506" i="25"/>
  <c r="C498" i="25"/>
  <c r="C490" i="25"/>
  <c r="D482" i="25"/>
  <c r="C476" i="25"/>
  <c r="D475" i="25"/>
  <c r="D474" i="25"/>
  <c r="C468" i="25"/>
  <c r="D467" i="25"/>
  <c r="D466" i="25"/>
  <c r="C464" i="25"/>
  <c r="C462" i="25"/>
  <c r="C460" i="25"/>
  <c r="C458" i="25"/>
  <c r="C456" i="25"/>
  <c r="C454" i="25"/>
  <c r="C452" i="25"/>
  <c r="C450" i="25"/>
  <c r="C448" i="25"/>
  <c r="C446" i="25"/>
  <c r="C444" i="25"/>
  <c r="C442" i="25"/>
  <c r="C440" i="25"/>
  <c r="C438" i="25"/>
  <c r="C436" i="25"/>
  <c r="C434" i="25"/>
  <c r="C432" i="25"/>
  <c r="C430" i="25"/>
  <c r="C428" i="25"/>
  <c r="D529" i="25"/>
  <c r="C510" i="25"/>
  <c r="C502" i="25"/>
  <c r="C494" i="25"/>
  <c r="C486" i="25"/>
  <c r="C480" i="25"/>
  <c r="D479" i="25"/>
  <c r="D478" i="25"/>
  <c r="C472" i="25"/>
  <c r="D471" i="25"/>
  <c r="D470" i="25"/>
  <c r="C463" i="25"/>
  <c r="C461" i="25"/>
  <c r="C459" i="25"/>
  <c r="C457" i="25"/>
  <c r="C455" i="25"/>
  <c r="C453" i="25"/>
  <c r="C451" i="25"/>
  <c r="C449" i="25"/>
  <c r="C447" i="25"/>
  <c r="C445" i="25"/>
  <c r="C443" i="25"/>
  <c r="C441" i="25"/>
  <c r="C439" i="25"/>
  <c r="C437" i="25"/>
  <c r="C435" i="25"/>
  <c r="C433" i="25"/>
  <c r="C431" i="25"/>
  <c r="C429" i="25"/>
  <c r="C508" i="25"/>
  <c r="D472" i="25"/>
  <c r="C466" i="25"/>
  <c r="D465" i="25"/>
  <c r="D459" i="25"/>
  <c r="D451" i="25"/>
  <c r="D443" i="25"/>
  <c r="D435" i="25"/>
  <c r="C426" i="25"/>
  <c r="C425" i="25"/>
  <c r="D423" i="25"/>
  <c r="C418" i="25"/>
  <c r="C417" i="25"/>
  <c r="D415" i="25"/>
  <c r="C410" i="25"/>
  <c r="C409" i="25"/>
  <c r="D407" i="25"/>
  <c r="C402" i="25"/>
  <c r="C401" i="25"/>
  <c r="D515" i="25"/>
  <c r="D461" i="25"/>
  <c r="D453" i="25"/>
  <c r="D445" i="25"/>
  <c r="D437" i="25"/>
  <c r="D429" i="25"/>
  <c r="C424" i="25"/>
  <c r="C423" i="25"/>
  <c r="D421" i="25"/>
  <c r="C416" i="25"/>
  <c r="C415" i="25"/>
  <c r="D413" i="25"/>
  <c r="C408" i="25"/>
  <c r="C407" i="25"/>
  <c r="D405" i="25"/>
  <c r="C500" i="25"/>
  <c r="D480" i="25"/>
  <c r="C474" i="25"/>
  <c r="D473" i="25"/>
  <c r="D457" i="25"/>
  <c r="D449" i="25"/>
  <c r="D441" i="25"/>
  <c r="D433" i="25"/>
  <c r="C427" i="25"/>
  <c r="D425" i="25"/>
  <c r="C420" i="25"/>
  <c r="C419" i="25"/>
  <c r="D417" i="25"/>
  <c r="C412" i="25"/>
  <c r="C411" i="25"/>
  <c r="D409" i="25"/>
  <c r="C404" i="25"/>
  <c r="C403" i="25"/>
  <c r="D401" i="25"/>
  <c r="D399" i="25"/>
  <c r="D397" i="25"/>
  <c r="D395" i="25"/>
  <c r="D393" i="25"/>
  <c r="D391" i="25"/>
  <c r="D389" i="25"/>
  <c r="D387" i="25"/>
  <c r="D385" i="25"/>
  <c r="D383" i="25"/>
  <c r="D381" i="25"/>
  <c r="D379" i="25"/>
  <c r="D377" i="25"/>
  <c r="C484" i="25"/>
  <c r="D455" i="25"/>
  <c r="D419" i="25"/>
  <c r="C406" i="25"/>
  <c r="C405" i="25"/>
  <c r="C399" i="25"/>
  <c r="C398" i="25"/>
  <c r="D396" i="25"/>
  <c r="C391" i="25"/>
  <c r="C390" i="25"/>
  <c r="D388" i="25"/>
  <c r="C383" i="25"/>
  <c r="C382" i="25"/>
  <c r="D380" i="25"/>
  <c r="D375" i="25"/>
  <c r="D373" i="25"/>
  <c r="D371" i="25"/>
  <c r="D369" i="25"/>
  <c r="D367" i="25"/>
  <c r="D365" i="25"/>
  <c r="D363" i="25"/>
  <c r="D361" i="25"/>
  <c r="D359" i="25"/>
  <c r="D357" i="25"/>
  <c r="D355" i="25"/>
  <c r="D353" i="25"/>
  <c r="D351" i="25"/>
  <c r="D349" i="25"/>
  <c r="D347" i="25"/>
  <c r="D345" i="25"/>
  <c r="D343" i="25"/>
  <c r="D341" i="25"/>
  <c r="D339" i="25"/>
  <c r="D337" i="25"/>
  <c r="D335" i="25"/>
  <c r="D333" i="25"/>
  <c r="D331" i="25"/>
  <c r="D329" i="25"/>
  <c r="D327" i="25"/>
  <c r="D325" i="25"/>
  <c r="D323" i="25"/>
  <c r="D321" i="25"/>
  <c r="D319" i="25"/>
  <c r="D317" i="25"/>
  <c r="D315" i="25"/>
  <c r="D313" i="25"/>
  <c r="D311" i="25"/>
  <c r="D309" i="25"/>
  <c r="D307" i="25"/>
  <c r="D305" i="25"/>
  <c r="D303" i="25"/>
  <c r="D301" i="25"/>
  <c r="D299" i="25"/>
  <c r="D297" i="25"/>
  <c r="D295" i="25"/>
  <c r="D293" i="25"/>
  <c r="D291" i="25"/>
  <c r="D289" i="25"/>
  <c r="D287" i="25"/>
  <c r="D285" i="25"/>
  <c r="D283" i="25"/>
  <c r="D281" i="25"/>
  <c r="D279" i="25"/>
  <c r="C482" i="25"/>
  <c r="D463" i="25"/>
  <c r="D431" i="25"/>
  <c r="D411" i="25"/>
  <c r="C397" i="25"/>
  <c r="C396" i="25"/>
  <c r="D394" i="25"/>
  <c r="C389" i="25"/>
  <c r="C388" i="25"/>
  <c r="D386" i="25"/>
  <c r="C381" i="25"/>
  <c r="C380" i="25"/>
  <c r="D378" i="25"/>
  <c r="C375" i="25"/>
  <c r="C373" i="25"/>
  <c r="C371" i="25"/>
  <c r="C369" i="25"/>
  <c r="C367" i="25"/>
  <c r="C365" i="25"/>
  <c r="D481" i="25"/>
  <c r="D447" i="25"/>
  <c r="D427" i="25"/>
  <c r="C414" i="25"/>
  <c r="C413" i="25"/>
  <c r="C400" i="25"/>
  <c r="D398" i="25"/>
  <c r="C393" i="25"/>
  <c r="C392" i="25"/>
  <c r="D390" i="25"/>
  <c r="C385" i="25"/>
  <c r="C384" i="25"/>
  <c r="D382" i="25"/>
  <c r="C377" i="25"/>
  <c r="C376" i="25"/>
  <c r="C374" i="25"/>
  <c r="C372" i="25"/>
  <c r="C370" i="25"/>
  <c r="C368" i="25"/>
  <c r="C366" i="25"/>
  <c r="C364" i="25"/>
  <c r="C362" i="25"/>
  <c r="C360" i="25"/>
  <c r="C358" i="25"/>
  <c r="C356" i="25"/>
  <c r="C354" i="25"/>
  <c r="C352" i="25"/>
  <c r="C350" i="25"/>
  <c r="C348" i="25"/>
  <c r="C346" i="25"/>
  <c r="D392" i="25"/>
  <c r="C379" i="25"/>
  <c r="C378" i="25"/>
  <c r="D368" i="25"/>
  <c r="C341" i="25"/>
  <c r="C340" i="25"/>
  <c r="D338" i="25"/>
  <c r="C333" i="25"/>
  <c r="C332" i="25"/>
  <c r="D330" i="25"/>
  <c r="C325" i="25"/>
  <c r="C324" i="25"/>
  <c r="D322" i="25"/>
  <c r="C317" i="25"/>
  <c r="C316" i="25"/>
  <c r="D314" i="25"/>
  <c r="C309" i="25"/>
  <c r="C308" i="25"/>
  <c r="D306" i="25"/>
  <c r="C301" i="25"/>
  <c r="C300" i="25"/>
  <c r="D298" i="25"/>
  <c r="C293" i="25"/>
  <c r="C292" i="25"/>
  <c r="D290" i="25"/>
  <c r="C285" i="25"/>
  <c r="C284" i="25"/>
  <c r="D282" i="25"/>
  <c r="D278" i="25"/>
  <c r="D276" i="25"/>
  <c r="D274" i="25"/>
  <c r="D272" i="25"/>
  <c r="D270" i="25"/>
  <c r="D268" i="25"/>
  <c r="D266" i="25"/>
  <c r="C421" i="25"/>
  <c r="D384" i="25"/>
  <c r="D370" i="25"/>
  <c r="D364" i="25"/>
  <c r="C363" i="25"/>
  <c r="D360" i="25"/>
  <c r="C359" i="25"/>
  <c r="D356" i="25"/>
  <c r="C355" i="25"/>
  <c r="D352" i="25"/>
  <c r="C351" i="25"/>
  <c r="D348" i="25"/>
  <c r="C347" i="25"/>
  <c r="D344" i="25"/>
  <c r="C339" i="25"/>
  <c r="C338" i="25"/>
  <c r="D336" i="25"/>
  <c r="C331" i="25"/>
  <c r="C330" i="25"/>
  <c r="D328" i="25"/>
  <c r="C323" i="25"/>
  <c r="C322" i="25"/>
  <c r="D320" i="25"/>
  <c r="C315" i="25"/>
  <c r="C314" i="25"/>
  <c r="D312" i="25"/>
  <c r="C307" i="25"/>
  <c r="C306" i="25"/>
  <c r="D304" i="25"/>
  <c r="C299" i="25"/>
  <c r="C298" i="25"/>
  <c r="D296" i="25"/>
  <c r="C291" i="25"/>
  <c r="C290" i="25"/>
  <c r="D288" i="25"/>
  <c r="C283" i="25"/>
  <c r="C282" i="25"/>
  <c r="D280" i="25"/>
  <c r="C278" i="25"/>
  <c r="C276" i="25"/>
  <c r="C274" i="25"/>
  <c r="C272" i="25"/>
  <c r="C270" i="25"/>
  <c r="C268" i="25"/>
  <c r="C266" i="25"/>
  <c r="C492" i="25"/>
  <c r="D439" i="25"/>
  <c r="C422" i="25"/>
  <c r="D403" i="25"/>
  <c r="D400" i="25"/>
  <c r="C387" i="25"/>
  <c r="C386" i="25"/>
  <c r="D374" i="25"/>
  <c r="D366" i="25"/>
  <c r="D362" i="25"/>
  <c r="C361" i="25"/>
  <c r="D358" i="25"/>
  <c r="C357" i="25"/>
  <c r="D354" i="25"/>
  <c r="C353" i="25"/>
  <c r="D350" i="25"/>
  <c r="C349" i="25"/>
  <c r="D346" i="25"/>
  <c r="C345" i="25"/>
  <c r="C343" i="25"/>
  <c r="C342" i="25"/>
  <c r="D340" i="25"/>
  <c r="C335" i="25"/>
  <c r="C334" i="25"/>
  <c r="D332" i="25"/>
  <c r="C327" i="25"/>
  <c r="C326" i="25"/>
  <c r="D324" i="25"/>
  <c r="C319" i="25"/>
  <c r="C318" i="25"/>
  <c r="D316" i="25"/>
  <c r="C311" i="25"/>
  <c r="C310" i="25"/>
  <c r="D308" i="25"/>
  <c r="C303" i="25"/>
  <c r="C302" i="25"/>
  <c r="D300" i="25"/>
  <c r="C295" i="25"/>
  <c r="C294" i="25"/>
  <c r="D292" i="25"/>
  <c r="C287" i="25"/>
  <c r="C286" i="25"/>
  <c r="D284" i="25"/>
  <c r="C279" i="25"/>
  <c r="C277" i="25"/>
  <c r="C275" i="25"/>
  <c r="C273" i="25"/>
  <c r="C271" i="25"/>
  <c r="C269" i="25"/>
  <c r="C267" i="25"/>
  <c r="C265" i="25"/>
  <c r="C263" i="25"/>
  <c r="C261" i="25"/>
  <c r="C259" i="25"/>
  <c r="C257" i="25"/>
  <c r="C255" i="25"/>
  <c r="C253" i="25"/>
  <c r="C251" i="25"/>
  <c r="C249" i="25"/>
  <c r="C247" i="25"/>
  <c r="C245" i="25"/>
  <c r="C243" i="25"/>
  <c r="C241" i="25"/>
  <c r="C239" i="25"/>
  <c r="C237" i="25"/>
  <c r="C235" i="25"/>
  <c r="C233" i="25"/>
  <c r="C231" i="25"/>
  <c r="C229" i="25"/>
  <c r="C227" i="25"/>
  <c r="C394" i="25"/>
  <c r="C337" i="25"/>
  <c r="C336" i="25"/>
  <c r="D318" i="25"/>
  <c r="C305" i="25"/>
  <c r="C304" i="25"/>
  <c r="D286" i="25"/>
  <c r="D271" i="25"/>
  <c r="C260" i="25"/>
  <c r="D259" i="25"/>
  <c r="D258" i="25"/>
  <c r="C252" i="25"/>
  <c r="D251" i="25"/>
  <c r="D250" i="25"/>
  <c r="C244" i="25"/>
  <c r="D243" i="25"/>
  <c r="D242" i="25"/>
  <c r="C236" i="25"/>
  <c r="D235" i="25"/>
  <c r="D234" i="25"/>
  <c r="C228" i="25"/>
  <c r="D227" i="25"/>
  <c r="D226" i="25"/>
  <c r="C225" i="25"/>
  <c r="C223" i="25"/>
  <c r="C221" i="25"/>
  <c r="C219" i="25"/>
  <c r="C217" i="25"/>
  <c r="C215" i="25"/>
  <c r="C213" i="25"/>
  <c r="C211" i="25"/>
  <c r="C209" i="25"/>
  <c r="C207" i="25"/>
  <c r="C205" i="25"/>
  <c r="C203" i="25"/>
  <c r="C201" i="25"/>
  <c r="C199" i="25"/>
  <c r="C197" i="25"/>
  <c r="C195" i="25"/>
  <c r="C193" i="25"/>
  <c r="C191" i="25"/>
  <c r="C189" i="25"/>
  <c r="C187" i="25"/>
  <c r="C185" i="25"/>
  <c r="C183" i="25"/>
  <c r="C181" i="25"/>
  <c r="C179" i="25"/>
  <c r="C177" i="25"/>
  <c r="C175" i="25"/>
  <c r="C173" i="25"/>
  <c r="C171" i="25"/>
  <c r="C169" i="25"/>
  <c r="C167" i="25"/>
  <c r="C165" i="25"/>
  <c r="C163" i="25"/>
  <c r="C161" i="25"/>
  <c r="C159" i="25"/>
  <c r="C157" i="25"/>
  <c r="C155" i="25"/>
  <c r="C153" i="25"/>
  <c r="C151" i="25"/>
  <c r="C149" i="25"/>
  <c r="C147" i="25"/>
  <c r="C145" i="25"/>
  <c r="C143" i="25"/>
  <c r="C141" i="25"/>
  <c r="C139" i="25"/>
  <c r="C137" i="25"/>
  <c r="C135" i="25"/>
  <c r="C133" i="25"/>
  <c r="C131" i="25"/>
  <c r="C129" i="25"/>
  <c r="C127" i="25"/>
  <c r="C125" i="25"/>
  <c r="C123" i="25"/>
  <c r="C121" i="25"/>
  <c r="D372" i="25"/>
  <c r="D342" i="25"/>
  <c r="C329" i="25"/>
  <c r="C328" i="25"/>
  <c r="D310" i="25"/>
  <c r="C297" i="25"/>
  <c r="C296" i="25"/>
  <c r="D273" i="25"/>
  <c r="D265" i="25"/>
  <c r="D264" i="25"/>
  <c r="C258" i="25"/>
  <c r="D257" i="25"/>
  <c r="D256" i="25"/>
  <c r="C250" i="25"/>
  <c r="D249" i="25"/>
  <c r="D248" i="25"/>
  <c r="C242" i="25"/>
  <c r="D241" i="25"/>
  <c r="D240" i="25"/>
  <c r="C234" i="25"/>
  <c r="D233" i="25"/>
  <c r="D232" i="25"/>
  <c r="C226" i="25"/>
  <c r="D224" i="25"/>
  <c r="D222" i="25"/>
  <c r="D220" i="25"/>
  <c r="C344" i="25"/>
  <c r="D326" i="25"/>
  <c r="C313" i="25"/>
  <c r="C312" i="25"/>
  <c r="D294" i="25"/>
  <c r="C281" i="25"/>
  <c r="C280" i="25"/>
  <c r="D277" i="25"/>
  <c r="D269" i="25"/>
  <c r="C262" i="25"/>
  <c r="D261" i="25"/>
  <c r="D260" i="25"/>
  <c r="C254" i="25"/>
  <c r="D253" i="25"/>
  <c r="D252" i="25"/>
  <c r="C246" i="25"/>
  <c r="D245" i="25"/>
  <c r="D244" i="25"/>
  <c r="C238" i="25"/>
  <c r="D237" i="25"/>
  <c r="D236" i="25"/>
  <c r="C230" i="25"/>
  <c r="D229" i="25"/>
  <c r="D228" i="25"/>
  <c r="D225" i="25"/>
  <c r="D223" i="25"/>
  <c r="D221" i="25"/>
  <c r="D219" i="25"/>
  <c r="D217" i="25"/>
  <c r="D215" i="25"/>
  <c r="D213" i="25"/>
  <c r="D211" i="25"/>
  <c r="D209" i="25"/>
  <c r="D207" i="25"/>
  <c r="D205" i="25"/>
  <c r="D203" i="25"/>
  <c r="D201" i="25"/>
  <c r="D199" i="25"/>
  <c r="D197" i="25"/>
  <c r="D195" i="25"/>
  <c r="D193" i="25"/>
  <c r="D191" i="25"/>
  <c r="D189" i="25"/>
  <c r="D187" i="25"/>
  <c r="D185" i="25"/>
  <c r="D183" i="25"/>
  <c r="D181" i="25"/>
  <c r="D179" i="25"/>
  <c r="D177" i="25"/>
  <c r="D175" i="25"/>
  <c r="D173" i="25"/>
  <c r="D171" i="25"/>
  <c r="D169" i="25"/>
  <c r="D167" i="25"/>
  <c r="D165" i="25"/>
  <c r="D163" i="25"/>
  <c r="D161" i="25"/>
  <c r="D159" i="25"/>
  <c r="D157" i="25"/>
  <c r="D155" i="25"/>
  <c r="D153" i="25"/>
  <c r="D151" i="25"/>
  <c r="D149" i="25"/>
  <c r="D147" i="25"/>
  <c r="D145" i="25"/>
  <c r="D143" i="25"/>
  <c r="D141" i="25"/>
  <c r="D139" i="25"/>
  <c r="D137" i="25"/>
  <c r="D135" i="25"/>
  <c r="D133" i="25"/>
  <c r="D131" i="25"/>
  <c r="D129" i="25"/>
  <c r="D127" i="25"/>
  <c r="D125" i="25"/>
  <c r="D123" i="25"/>
  <c r="D121" i="25"/>
  <c r="D119" i="25"/>
  <c r="D117" i="25"/>
  <c r="D115" i="25"/>
  <c r="D113" i="25"/>
  <c r="D111" i="25"/>
  <c r="D109" i="25"/>
  <c r="D107" i="25"/>
  <c r="D105" i="25"/>
  <c r="D103" i="25"/>
  <c r="D101" i="25"/>
  <c r="D99" i="25"/>
  <c r="D97" i="25"/>
  <c r="D95" i="25"/>
  <c r="D93" i="25"/>
  <c r="D91" i="25"/>
  <c r="D89" i="25"/>
  <c r="D87" i="25"/>
  <c r="D85" i="25"/>
  <c r="D83" i="25"/>
  <c r="D81" i="25"/>
  <c r="D79" i="25"/>
  <c r="D77" i="25"/>
  <c r="D75" i="25"/>
  <c r="D73" i="25"/>
  <c r="D71" i="25"/>
  <c r="D69" i="25"/>
  <c r="D67" i="25"/>
  <c r="D65" i="25"/>
  <c r="D63" i="25"/>
  <c r="D61" i="25"/>
  <c r="D59" i="25"/>
  <c r="D57" i="25"/>
  <c r="D55" i="25"/>
  <c r="D53" i="25"/>
  <c r="D51" i="25"/>
  <c r="D49" i="25"/>
  <c r="D47" i="25"/>
  <c r="D45" i="25"/>
  <c r="D43" i="25"/>
  <c r="D41" i="25"/>
  <c r="D39" i="25"/>
  <c r="D37" i="25"/>
  <c r="D35" i="25"/>
  <c r="D33" i="25"/>
  <c r="D31" i="25"/>
  <c r="D29" i="25"/>
  <c r="D376" i="25"/>
  <c r="C289" i="25"/>
  <c r="D275" i="25"/>
  <c r="D262" i="25"/>
  <c r="C256" i="25"/>
  <c r="D255" i="25"/>
  <c r="D230" i="25"/>
  <c r="C224" i="25"/>
  <c r="D218" i="25"/>
  <c r="D214" i="25"/>
  <c r="D210" i="25"/>
  <c r="D206" i="25"/>
  <c r="D202" i="25"/>
  <c r="D198" i="25"/>
  <c r="D194" i="25"/>
  <c r="D190" i="25"/>
  <c r="D186" i="25"/>
  <c r="D182" i="25"/>
  <c r="D178" i="25"/>
  <c r="D174" i="25"/>
  <c r="D170" i="25"/>
  <c r="D166" i="25"/>
  <c r="D162" i="25"/>
  <c r="D158" i="25"/>
  <c r="D154" i="25"/>
  <c r="D150" i="25"/>
  <c r="D146" i="25"/>
  <c r="D142" i="25"/>
  <c r="D138" i="25"/>
  <c r="D134" i="25"/>
  <c r="D130" i="25"/>
  <c r="D126" i="25"/>
  <c r="D122" i="25"/>
  <c r="C115" i="25"/>
  <c r="C114" i="25"/>
  <c r="D112" i="25"/>
  <c r="C107" i="25"/>
  <c r="C106" i="25"/>
  <c r="D104" i="25"/>
  <c r="C99" i="25"/>
  <c r="C98" i="25"/>
  <c r="D96" i="25"/>
  <c r="C91" i="25"/>
  <c r="C90" i="25"/>
  <c r="D88" i="25"/>
  <c r="C83" i="25"/>
  <c r="C82" i="25"/>
  <c r="D80" i="25"/>
  <c r="C75" i="25"/>
  <c r="C74" i="25"/>
  <c r="D72" i="25"/>
  <c r="C67" i="25"/>
  <c r="C66" i="25"/>
  <c r="D64" i="25"/>
  <c r="C59" i="25"/>
  <c r="C50" i="25"/>
  <c r="D48" i="25"/>
  <c r="C27" i="25"/>
  <c r="C320" i="25"/>
  <c r="D254" i="25"/>
  <c r="C248" i="25"/>
  <c r="D247" i="25"/>
  <c r="C218" i="25"/>
  <c r="C214" i="25"/>
  <c r="C210" i="25"/>
  <c r="C206" i="25"/>
  <c r="C202" i="25"/>
  <c r="C198" i="25"/>
  <c r="C194" i="25"/>
  <c r="C190" i="25"/>
  <c r="C186" i="25"/>
  <c r="C182" i="25"/>
  <c r="C178" i="25"/>
  <c r="C174" i="25"/>
  <c r="C170" i="25"/>
  <c r="C166" i="25"/>
  <c r="C162" i="25"/>
  <c r="C158" i="25"/>
  <c r="C154" i="25"/>
  <c r="C150" i="25"/>
  <c r="C146" i="25"/>
  <c r="C142" i="25"/>
  <c r="C138" i="25"/>
  <c r="C134" i="25"/>
  <c r="C130" i="25"/>
  <c r="C126" i="25"/>
  <c r="C122" i="25"/>
  <c r="D118" i="25"/>
  <c r="C113" i="25"/>
  <c r="C112" i="25"/>
  <c r="D110" i="25"/>
  <c r="C105" i="25"/>
  <c r="C104" i="25"/>
  <c r="D102" i="25"/>
  <c r="C97" i="25"/>
  <c r="C96" i="25"/>
  <c r="D94" i="25"/>
  <c r="C89" i="25"/>
  <c r="C88" i="25"/>
  <c r="D86" i="25"/>
  <c r="C81" i="25"/>
  <c r="C80" i="25"/>
  <c r="D78" i="25"/>
  <c r="C73" i="25"/>
  <c r="C72" i="25"/>
  <c r="D70" i="25"/>
  <c r="C65" i="25"/>
  <c r="C64" i="25"/>
  <c r="D62" i="25"/>
  <c r="C57" i="25"/>
  <c r="C56" i="25"/>
  <c r="D54" i="25"/>
  <c r="C49" i="25"/>
  <c r="C48" i="25"/>
  <c r="D46" i="25"/>
  <c r="C41" i="25"/>
  <c r="C40" i="25"/>
  <c r="C395" i="25"/>
  <c r="C321" i="25"/>
  <c r="D302" i="25"/>
  <c r="D267" i="25"/>
  <c r="C264" i="25"/>
  <c r="D263" i="25"/>
  <c r="D238" i="25"/>
  <c r="C232" i="25"/>
  <c r="D231" i="25"/>
  <c r="C222" i="25"/>
  <c r="C216" i="25"/>
  <c r="C212" i="25"/>
  <c r="C208" i="25"/>
  <c r="C204" i="25"/>
  <c r="C200" i="25"/>
  <c r="C196" i="25"/>
  <c r="C192" i="25"/>
  <c r="C188" i="25"/>
  <c r="C184" i="25"/>
  <c r="C180" i="25"/>
  <c r="C176" i="25"/>
  <c r="C172" i="25"/>
  <c r="C168" i="25"/>
  <c r="C164" i="25"/>
  <c r="C160" i="25"/>
  <c r="C156" i="25"/>
  <c r="C152" i="25"/>
  <c r="C148" i="25"/>
  <c r="C144" i="25"/>
  <c r="C140" i="25"/>
  <c r="C136" i="25"/>
  <c r="C132" i="25"/>
  <c r="C128" i="25"/>
  <c r="C124" i="25"/>
  <c r="C120" i="25"/>
  <c r="C117" i="25"/>
  <c r="C116" i="25"/>
  <c r="D114" i="25"/>
  <c r="C109" i="25"/>
  <c r="C108" i="25"/>
  <c r="D106" i="25"/>
  <c r="C101" i="25"/>
  <c r="C100" i="25"/>
  <c r="D98" i="25"/>
  <c r="C93" i="25"/>
  <c r="C92" i="25"/>
  <c r="D90" i="25"/>
  <c r="C85" i="25"/>
  <c r="C84" i="25"/>
  <c r="D82" i="25"/>
  <c r="C77" i="25"/>
  <c r="C76" i="25"/>
  <c r="D74" i="25"/>
  <c r="C69" i="25"/>
  <c r="C68" i="25"/>
  <c r="D66" i="25"/>
  <c r="C61" i="25"/>
  <c r="C60" i="25"/>
  <c r="D58" i="25"/>
  <c r="C53" i="25"/>
  <c r="C52" i="25"/>
  <c r="D50" i="25"/>
  <c r="C45" i="25"/>
  <c r="C44" i="25"/>
  <c r="D42" i="25"/>
  <c r="C37" i="25"/>
  <c r="C36" i="25"/>
  <c r="D34" i="25"/>
  <c r="C29" i="25"/>
  <c r="D27" i="25"/>
  <c r="D25" i="25"/>
  <c r="D23" i="25"/>
  <c r="D21" i="25"/>
  <c r="D19" i="25"/>
  <c r="D17" i="25"/>
  <c r="D15" i="25"/>
  <c r="D13" i="25"/>
  <c r="C58" i="25"/>
  <c r="D56" i="25"/>
  <c r="C51" i="25"/>
  <c r="C43" i="25"/>
  <c r="C42" i="25"/>
  <c r="D40" i="25"/>
  <c r="C35" i="25"/>
  <c r="C34" i="25"/>
  <c r="D32" i="25"/>
  <c r="D334" i="25"/>
  <c r="D216" i="25"/>
  <c r="D200" i="25"/>
  <c r="D184" i="25"/>
  <c r="D168" i="25"/>
  <c r="D152" i="25"/>
  <c r="D136" i="25"/>
  <c r="D120" i="25"/>
  <c r="C119" i="25"/>
  <c r="C118" i="25"/>
  <c r="D100" i="25"/>
  <c r="C87" i="25"/>
  <c r="C86" i="25"/>
  <c r="D68" i="25"/>
  <c r="C55" i="25"/>
  <c r="C54" i="25"/>
  <c r="D36" i="25"/>
  <c r="C30" i="25"/>
  <c r="C26" i="25"/>
  <c r="C25" i="25"/>
  <c r="C24" i="25"/>
  <c r="D22" i="25"/>
  <c r="D14" i="25"/>
  <c r="D128" i="25"/>
  <c r="D116" i="25"/>
  <c r="D84" i="25"/>
  <c r="C70" i="25"/>
  <c r="C38" i="25"/>
  <c r="C13" i="25"/>
  <c r="D246" i="25"/>
  <c r="C240" i="25"/>
  <c r="D204" i="25"/>
  <c r="D188" i="25"/>
  <c r="D172" i="25"/>
  <c r="D156" i="25"/>
  <c r="D140" i="25"/>
  <c r="D124" i="25"/>
  <c r="C111" i="25"/>
  <c r="C110" i="25"/>
  <c r="D92" i="25"/>
  <c r="C79" i="25"/>
  <c r="C78" i="25"/>
  <c r="D60" i="25"/>
  <c r="C47" i="25"/>
  <c r="C46" i="25"/>
  <c r="C39" i="25"/>
  <c r="D38" i="25"/>
  <c r="D28" i="25"/>
  <c r="C23" i="25"/>
  <c r="C22" i="25"/>
  <c r="D20" i="25"/>
  <c r="C15" i="25"/>
  <c r="C288" i="25"/>
  <c r="C220" i="25"/>
  <c r="D192" i="25"/>
  <c r="D176" i="25"/>
  <c r="D160" i="25"/>
  <c r="D144" i="25"/>
  <c r="C103" i="25"/>
  <c r="C71" i="25"/>
  <c r="C21" i="25"/>
  <c r="C20" i="25"/>
  <c r="D18" i="25"/>
  <c r="D239" i="25"/>
  <c r="D212" i="25"/>
  <c r="D196" i="25"/>
  <c r="D180" i="25"/>
  <c r="D164" i="25"/>
  <c r="D148" i="25"/>
  <c r="D132" i="25"/>
  <c r="D108" i="25"/>
  <c r="C95" i="25"/>
  <c r="C94" i="25"/>
  <c r="D76" i="25"/>
  <c r="C63" i="25"/>
  <c r="C62" i="25"/>
  <c r="D44" i="25"/>
  <c r="C33" i="25"/>
  <c r="C31" i="25"/>
  <c r="D30" i="25"/>
  <c r="D26" i="25"/>
  <c r="D24" i="25"/>
  <c r="C19" i="25"/>
  <c r="C18" i="25"/>
  <c r="D16" i="25"/>
  <c r="C17" i="25"/>
  <c r="C16" i="25"/>
  <c r="C14" i="25"/>
  <c r="D208" i="25"/>
  <c r="C102" i="25"/>
  <c r="D52" i="25"/>
  <c r="C32" i="25"/>
  <c r="C28" i="25"/>
  <c r="C626" i="25"/>
  <c r="AA626" i="25" s="1"/>
  <c r="E636" i="25" s="1"/>
  <c r="D626" i="25"/>
  <c r="AB626" i="25" s="1"/>
  <c r="C628" i="25"/>
  <c r="D628" i="25"/>
  <c r="C623" i="25"/>
  <c r="D623" i="25"/>
  <c r="AT64" i="23"/>
  <c r="AV64" i="23" s="1"/>
  <c r="AZ64" i="23" s="1"/>
  <c r="BB100" i="23"/>
  <c r="BC38" i="23"/>
  <c r="AW38" i="23" s="1"/>
  <c r="AT76" i="23"/>
  <c r="AV76" i="23" s="1"/>
  <c r="AZ76" i="23" s="1"/>
  <c r="BB61" i="23"/>
  <c r="BB64" i="23"/>
  <c r="U10" i="21"/>
  <c r="AT38" i="23"/>
  <c r="AV38" i="23" s="1"/>
  <c r="AZ38" i="23" s="1"/>
  <c r="BB107" i="23"/>
  <c r="BB80" i="23"/>
  <c r="AT78" i="23"/>
  <c r="AV78" i="23" s="1"/>
  <c r="AZ78" i="23" s="1"/>
  <c r="AT68" i="23"/>
  <c r="AV68" i="23" s="1"/>
  <c r="AZ68" i="23" s="1"/>
  <c r="BB43" i="23"/>
  <c r="BB78" i="23"/>
  <c r="BB29" i="23"/>
  <c r="BB95" i="23"/>
  <c r="AT96" i="23"/>
  <c r="AV96" i="23" s="1"/>
  <c r="AZ96" i="23" s="1"/>
  <c r="AT95" i="23"/>
  <c r="AV95" i="23" s="1"/>
  <c r="AZ95" i="23" s="1"/>
  <c r="AT32" i="23"/>
  <c r="AV32" i="23" s="1"/>
  <c r="AZ32" i="23" s="1"/>
  <c r="BB93" i="23"/>
  <c r="BC107" i="23"/>
  <c r="AW107" i="23" s="1"/>
  <c r="BB62" i="23"/>
  <c r="BB79" i="23"/>
  <c r="AT84" i="23"/>
  <c r="AV84" i="23" s="1"/>
  <c r="AZ84" i="23" s="1"/>
  <c r="BC26" i="23"/>
  <c r="AW26" i="23" s="1"/>
  <c r="AT100" i="23"/>
  <c r="AV100" i="23" s="1"/>
  <c r="AZ100" i="23" s="1"/>
  <c r="BC93" i="23"/>
  <c r="AW93" i="23" s="1"/>
  <c r="AT22" i="23"/>
  <c r="AV22" i="23" s="1"/>
  <c r="AZ22" i="23" s="1"/>
  <c r="BB21" i="23"/>
  <c r="AT26" i="23"/>
  <c r="AV26" i="23" s="1"/>
  <c r="AZ26" i="23" s="1"/>
  <c r="BB105" i="23"/>
  <c r="AT79" i="23"/>
  <c r="AV79" i="23" s="1"/>
  <c r="AZ79" i="23" s="1"/>
  <c r="BB91" i="23"/>
  <c r="AT43" i="23"/>
  <c r="AV43" i="23" s="1"/>
  <c r="AZ43" i="23" s="1"/>
  <c r="BC29" i="23"/>
  <c r="AW29" i="23" s="1"/>
  <c r="AT90" i="23"/>
  <c r="AV90" i="23" s="1"/>
  <c r="AZ90" i="23" s="1"/>
  <c r="AT74" i="23"/>
  <c r="AV74" i="23" s="1"/>
  <c r="AZ74" i="23" s="1"/>
  <c r="BB90" i="23"/>
  <c r="BB17" i="23"/>
  <c r="BB59" i="23"/>
  <c r="AT89" i="23"/>
  <c r="AV89" i="23" s="1"/>
  <c r="AZ89" i="23" s="1"/>
  <c r="BC24" i="23"/>
  <c r="AW24" i="23" s="1"/>
  <c r="BC17" i="23"/>
  <c r="AW17" i="23" s="1"/>
  <c r="AT59" i="23"/>
  <c r="AV59" i="23" s="1"/>
  <c r="H3" i="23" s="1"/>
  <c r="AT77" i="23"/>
  <c r="AV77" i="23" s="1"/>
  <c r="AZ77" i="23" s="1"/>
  <c r="AT61" i="23"/>
  <c r="AV61" i="23" s="1"/>
  <c r="AZ61" i="23" s="1"/>
  <c r="AT10" i="23"/>
  <c r="AV10" i="23" s="1"/>
  <c r="AZ10" i="23" s="1"/>
  <c r="BB74" i="23"/>
  <c r="BB35" i="23"/>
  <c r="AT60" i="23"/>
  <c r="AV60" i="23" s="1"/>
  <c r="AZ60" i="23" s="1"/>
  <c r="AT50" i="23"/>
  <c r="AV50" i="23" s="1"/>
  <c r="AZ50" i="23" s="1"/>
  <c r="AT39" i="23"/>
  <c r="AV39" i="23" s="1"/>
  <c r="AZ39" i="23" s="1"/>
  <c r="AT54" i="23"/>
  <c r="AV54" i="23" s="1"/>
  <c r="AZ54" i="23" s="1"/>
  <c r="AT75" i="23"/>
  <c r="AV75" i="23" s="1"/>
  <c r="AZ75" i="23" s="1"/>
  <c r="BB75" i="23"/>
  <c r="AT94" i="23"/>
  <c r="AV94" i="23" s="1"/>
  <c r="AZ94" i="23" s="1"/>
  <c r="AT31" i="23"/>
  <c r="AV31" i="23" s="1"/>
  <c r="AZ31" i="23" s="1"/>
  <c r="AT16" i="23"/>
  <c r="AV16" i="23" s="1"/>
  <c r="AZ16" i="23" s="1"/>
  <c r="BB37" i="23"/>
  <c r="AT30" i="23"/>
  <c r="AV30" i="23" s="1"/>
  <c r="AZ30" i="23" s="1"/>
  <c r="BB19" i="23"/>
  <c r="BB54" i="23"/>
  <c r="BB32" i="23"/>
  <c r="BB30" i="23"/>
  <c r="BB94" i="23"/>
  <c r="BB108" i="23"/>
  <c r="AT102" i="23"/>
  <c r="AV102" i="23" s="1"/>
  <c r="AZ102" i="23" s="1"/>
  <c r="AT98" i="23"/>
  <c r="AV98" i="23" s="1"/>
  <c r="AZ98" i="23" s="1"/>
  <c r="AT21" i="23"/>
  <c r="AV21" i="23" s="1"/>
  <c r="AZ21" i="23" s="1"/>
  <c r="AT12" i="23"/>
  <c r="AV12" i="23" s="1"/>
  <c r="AZ12" i="23" s="1"/>
  <c r="AT103" i="23"/>
  <c r="AV103" i="23" s="1"/>
  <c r="AZ103" i="23" s="1"/>
  <c r="BB50" i="23"/>
  <c r="AT19" i="23"/>
  <c r="AV19" i="23" s="1"/>
  <c r="AZ19" i="23" s="1"/>
  <c r="AT66" i="23"/>
  <c r="AV66" i="23" s="1"/>
  <c r="AZ66" i="23" s="1"/>
  <c r="BB46" i="23"/>
  <c r="AT37" i="23"/>
  <c r="AV37" i="23" s="1"/>
  <c r="AZ37" i="23" s="1"/>
  <c r="BB86" i="23"/>
  <c r="BB71" i="23"/>
  <c r="BB102" i="23"/>
  <c r="AT67" i="23"/>
  <c r="AV67" i="23" s="1"/>
  <c r="AZ67" i="23" s="1"/>
  <c r="AT46" i="23"/>
  <c r="AV46" i="23" s="1"/>
  <c r="AZ46" i="23" s="1"/>
  <c r="AT86" i="23"/>
  <c r="AV86" i="23" s="1"/>
  <c r="AZ86" i="23" s="1"/>
  <c r="AT70" i="23"/>
  <c r="AV70" i="23" s="1"/>
  <c r="AZ70" i="23" s="1"/>
  <c r="BB70" i="23"/>
  <c r="BB88" i="23"/>
  <c r="BC34" i="23"/>
  <c r="AW34" i="23" s="1"/>
  <c r="AT99" i="23"/>
  <c r="AV99" i="23" s="1"/>
  <c r="AZ99" i="23" s="1"/>
  <c r="BB12" i="23"/>
  <c r="AT34" i="23"/>
  <c r="AV34" i="23" s="1"/>
  <c r="AZ34" i="23" s="1"/>
  <c r="BC99" i="23"/>
  <c r="AW99" i="23" s="1"/>
  <c r="AT88" i="23"/>
  <c r="AV88" i="23" s="1"/>
  <c r="AZ88" i="23" s="1"/>
  <c r="AT18" i="23"/>
  <c r="AV18" i="23" s="1"/>
  <c r="AZ18" i="23" s="1"/>
  <c r="BB22" i="23"/>
  <c r="BB96" i="23"/>
  <c r="BB18" i="23"/>
  <c r="BC105" i="23"/>
  <c r="AW105" i="23" s="1"/>
  <c r="BC16" i="23"/>
  <c r="AW16" i="23" s="1"/>
  <c r="BC66" i="23"/>
  <c r="AW66" i="23" s="1"/>
  <c r="BC71" i="23"/>
  <c r="AW71" i="23" s="1"/>
  <c r="BC68" i="23"/>
  <c r="AW68" i="23" s="1"/>
  <c r="AT36" i="23"/>
  <c r="AV36" i="23" s="1"/>
  <c r="AZ36" i="23" s="1"/>
  <c r="AT82" i="23"/>
  <c r="AV82" i="23" s="1"/>
  <c r="AZ82" i="23" s="1"/>
  <c r="BB101" i="23"/>
  <c r="BB98" i="23"/>
  <c r="BB84" i="23"/>
  <c r="BB97" i="23"/>
  <c r="BB47" i="23"/>
  <c r="BB89" i="23"/>
  <c r="BB31" i="23"/>
  <c r="BB10" i="23"/>
  <c r="AT91" i="23"/>
  <c r="AV91" i="23" s="1"/>
  <c r="AZ91" i="23" s="1"/>
  <c r="AT47" i="23"/>
  <c r="AV47" i="23" s="1"/>
  <c r="AZ47" i="23" s="1"/>
  <c r="BC108" i="23"/>
  <c r="AW108" i="23" s="1"/>
  <c r="BC36" i="23"/>
  <c r="AW36" i="23" s="1"/>
  <c r="BC103" i="23"/>
  <c r="AW103" i="23" s="1"/>
  <c r="AT62" i="23"/>
  <c r="AV62" i="23" s="1"/>
  <c r="AZ62" i="23" s="1"/>
  <c r="BC67" i="23"/>
  <c r="AW67" i="23" s="1"/>
  <c r="BC101" i="23"/>
  <c r="AW101" i="23" s="1"/>
  <c r="BC57" i="23"/>
  <c r="AW57" i="23" s="1"/>
  <c r="BC80" i="23"/>
  <c r="AW80" i="23" s="1"/>
  <c r="AT33" i="23"/>
  <c r="AV33" i="23" s="1"/>
  <c r="AZ33" i="23" s="1"/>
  <c r="AT14" i="23"/>
  <c r="AV14" i="23" s="1"/>
  <c r="AZ14" i="23" s="1"/>
  <c r="BB14" i="23"/>
  <c r="BB83" i="23"/>
  <c r="BB60" i="23"/>
  <c r="BC33" i="23"/>
  <c r="AW33" i="23" s="1"/>
  <c r="AT83" i="23"/>
  <c r="AV83" i="23" s="1"/>
  <c r="AZ83" i="23" s="1"/>
  <c r="BC39" i="23"/>
  <c r="AW39" i="23" s="1"/>
  <c r="BB44" i="23"/>
  <c r="BB82" i="23"/>
  <c r="AT24" i="23"/>
  <c r="AV24" i="23" s="1"/>
  <c r="AZ24" i="23" s="1"/>
  <c r="BB57" i="23"/>
  <c r="BC97" i="23"/>
  <c r="AW97" i="23" s="1"/>
  <c r="BB77" i="23"/>
  <c r="AZ109" i="23"/>
  <c r="H4" i="23"/>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N16" i="8"/>
  <c r="E36" i="1"/>
  <c r="K4" i="17"/>
  <c r="H622" i="25" l="1"/>
  <c r="G622" i="25"/>
  <c r="AT10" i="21"/>
  <c r="AV10" i="21" s="1"/>
  <c r="AZ10" i="21" s="1"/>
  <c r="O622" i="25"/>
  <c r="P622" i="25"/>
  <c r="AA623" i="25"/>
  <c r="E633" i="25" s="1"/>
  <c r="AB623" i="25"/>
  <c r="P612" i="25"/>
  <c r="AB612" i="25" s="1"/>
  <c r="P610" i="25"/>
  <c r="AB610" i="25" s="1"/>
  <c r="P613" i="25"/>
  <c r="AB613" i="25" s="1"/>
  <c r="P608" i="25"/>
  <c r="AB608" i="25" s="1"/>
  <c r="P607" i="25"/>
  <c r="AB607" i="25" s="1"/>
  <c r="P605" i="25"/>
  <c r="AB605" i="25" s="1"/>
  <c r="P603" i="25"/>
  <c r="AB603" i="25" s="1"/>
  <c r="P601" i="25"/>
  <c r="AB601" i="25" s="1"/>
  <c r="P599" i="25"/>
  <c r="AB599" i="25" s="1"/>
  <c r="P597" i="25"/>
  <c r="AB597" i="25" s="1"/>
  <c r="P611" i="25"/>
  <c r="AB611" i="25" s="1"/>
  <c r="P606" i="25"/>
  <c r="AB606" i="25" s="1"/>
  <c r="P604" i="25"/>
  <c r="AB604" i="25" s="1"/>
  <c r="P602" i="25"/>
  <c r="AB602" i="25" s="1"/>
  <c r="P600" i="25"/>
  <c r="AB600" i="25" s="1"/>
  <c r="P598" i="25"/>
  <c r="AB598" i="25" s="1"/>
  <c r="P596" i="25"/>
  <c r="AB596" i="25" s="1"/>
  <c r="P594" i="25"/>
  <c r="AB594" i="25" s="1"/>
  <c r="P592" i="25"/>
  <c r="AB592" i="25" s="1"/>
  <c r="P591" i="25"/>
  <c r="AB591" i="25" s="1"/>
  <c r="P589" i="25"/>
  <c r="AB589" i="25" s="1"/>
  <c r="P587" i="25"/>
  <c r="AB587" i="25" s="1"/>
  <c r="P585" i="25"/>
  <c r="AB585" i="25" s="1"/>
  <c r="P609" i="25"/>
  <c r="AB609" i="25" s="1"/>
  <c r="P593" i="25"/>
  <c r="AB593" i="25" s="1"/>
  <c r="P588" i="25"/>
  <c r="AB588" i="25" s="1"/>
  <c r="P581" i="25"/>
  <c r="AB581" i="25" s="1"/>
  <c r="P580" i="25"/>
  <c r="AB580" i="25" s="1"/>
  <c r="P590" i="25"/>
  <c r="AB590" i="25" s="1"/>
  <c r="P584" i="25"/>
  <c r="AB584" i="25" s="1"/>
  <c r="P579" i="25"/>
  <c r="AB579" i="25" s="1"/>
  <c r="P578" i="25"/>
  <c r="AB578" i="25" s="1"/>
  <c r="P575" i="25"/>
  <c r="AB575" i="25" s="1"/>
  <c r="P573" i="25"/>
  <c r="AB573" i="25" s="1"/>
  <c r="P571" i="25"/>
  <c r="AB571" i="25" s="1"/>
  <c r="P569" i="25"/>
  <c r="AB569" i="25" s="1"/>
  <c r="P567" i="25"/>
  <c r="AB567" i="25" s="1"/>
  <c r="P565" i="25"/>
  <c r="AB565" i="25" s="1"/>
  <c r="P595" i="25"/>
  <c r="AB595" i="25" s="1"/>
  <c r="P586" i="25"/>
  <c r="AB586" i="25" s="1"/>
  <c r="P583" i="25"/>
  <c r="AB583" i="25" s="1"/>
  <c r="P582" i="25"/>
  <c r="AB582" i="25" s="1"/>
  <c r="P576" i="25"/>
  <c r="AB576" i="25" s="1"/>
  <c r="P574" i="25"/>
  <c r="AB574" i="25" s="1"/>
  <c r="P572" i="25"/>
  <c r="AB572" i="25" s="1"/>
  <c r="P570" i="25"/>
  <c r="AB570" i="25" s="1"/>
  <c r="P568" i="25"/>
  <c r="AB568" i="25" s="1"/>
  <c r="P566" i="25"/>
  <c r="AB566" i="25" s="1"/>
  <c r="P559" i="25"/>
  <c r="AB559" i="25" s="1"/>
  <c r="P558" i="25"/>
  <c r="AB558" i="25" s="1"/>
  <c r="P564" i="25"/>
  <c r="AB564" i="25" s="1"/>
  <c r="P557" i="25"/>
  <c r="AB557" i="25" s="1"/>
  <c r="P556" i="25"/>
  <c r="AB556" i="25" s="1"/>
  <c r="P554" i="25"/>
  <c r="AB554" i="25" s="1"/>
  <c r="P552" i="25"/>
  <c r="AB552" i="25" s="1"/>
  <c r="P550" i="25"/>
  <c r="AB550" i="25" s="1"/>
  <c r="P548" i="25"/>
  <c r="AB548" i="25" s="1"/>
  <c r="P546" i="25"/>
  <c r="AB546" i="25" s="1"/>
  <c r="P544" i="25"/>
  <c r="AB544" i="25" s="1"/>
  <c r="P542" i="25"/>
  <c r="AB542" i="25" s="1"/>
  <c r="P540" i="25"/>
  <c r="AB540" i="25" s="1"/>
  <c r="P538" i="25"/>
  <c r="AB538" i="25" s="1"/>
  <c r="P577" i="25"/>
  <c r="AB577" i="25" s="1"/>
  <c r="P561" i="25"/>
  <c r="AB561" i="25" s="1"/>
  <c r="P560" i="25"/>
  <c r="AB560" i="25" s="1"/>
  <c r="P555" i="25"/>
  <c r="AB555" i="25" s="1"/>
  <c r="P553" i="25"/>
  <c r="AB553" i="25" s="1"/>
  <c r="P551" i="25"/>
  <c r="AB551" i="25" s="1"/>
  <c r="P549" i="25"/>
  <c r="AB549" i="25" s="1"/>
  <c r="P547" i="25"/>
  <c r="AB547" i="25" s="1"/>
  <c r="P545" i="25"/>
  <c r="AB545" i="25" s="1"/>
  <c r="P543" i="25"/>
  <c r="AB543" i="25" s="1"/>
  <c r="P541" i="25"/>
  <c r="AB541" i="25" s="1"/>
  <c r="P539" i="25"/>
  <c r="AB539" i="25" s="1"/>
  <c r="P537" i="25"/>
  <c r="AB537" i="25" s="1"/>
  <c r="P530" i="25"/>
  <c r="AB530" i="25" s="1"/>
  <c r="P529" i="25"/>
  <c r="AB529" i="25" s="1"/>
  <c r="P563" i="25"/>
  <c r="AB563" i="25" s="1"/>
  <c r="P562" i="25"/>
  <c r="AB562" i="25" s="1"/>
  <c r="P536" i="25"/>
  <c r="AB536" i="25" s="1"/>
  <c r="P535" i="25"/>
  <c r="AB535" i="25" s="1"/>
  <c r="P528" i="25"/>
  <c r="AB528" i="25" s="1"/>
  <c r="P527" i="25"/>
  <c r="AB527" i="25" s="1"/>
  <c r="P532" i="25"/>
  <c r="AB532" i="25" s="1"/>
  <c r="P531" i="25"/>
  <c r="AB531" i="25" s="1"/>
  <c r="P526" i="25"/>
  <c r="AB526" i="25" s="1"/>
  <c r="P525" i="25"/>
  <c r="AB525" i="25" s="1"/>
  <c r="P517" i="25"/>
  <c r="AB517" i="25" s="1"/>
  <c r="P516" i="25"/>
  <c r="AB516" i="25" s="1"/>
  <c r="P524" i="25"/>
  <c r="AB524" i="25" s="1"/>
  <c r="P522" i="25"/>
  <c r="AB522" i="25" s="1"/>
  <c r="P515" i="25"/>
  <c r="AB515" i="25" s="1"/>
  <c r="P514" i="25"/>
  <c r="AB514" i="25" s="1"/>
  <c r="P510" i="25"/>
  <c r="AB510" i="25" s="1"/>
  <c r="P508" i="25"/>
  <c r="AB508" i="25" s="1"/>
  <c r="P506" i="25"/>
  <c r="AB506" i="25" s="1"/>
  <c r="P504" i="25"/>
  <c r="AB504" i="25" s="1"/>
  <c r="P502" i="25"/>
  <c r="AB502" i="25" s="1"/>
  <c r="P500" i="25"/>
  <c r="AB500" i="25" s="1"/>
  <c r="P498" i="25"/>
  <c r="AB498" i="25" s="1"/>
  <c r="P496" i="25"/>
  <c r="AB496" i="25" s="1"/>
  <c r="P494" i="25"/>
  <c r="AB494" i="25" s="1"/>
  <c r="P492" i="25"/>
  <c r="AB492" i="25" s="1"/>
  <c r="P490" i="25"/>
  <c r="AB490" i="25" s="1"/>
  <c r="P488" i="25"/>
  <c r="AB488" i="25" s="1"/>
  <c r="P486" i="25"/>
  <c r="AB486" i="25" s="1"/>
  <c r="P484" i="25"/>
  <c r="AB484" i="25" s="1"/>
  <c r="P482" i="25"/>
  <c r="AB482" i="25" s="1"/>
  <c r="P534" i="25"/>
  <c r="AB534" i="25" s="1"/>
  <c r="P533" i="25"/>
  <c r="AB533" i="25" s="1"/>
  <c r="P519" i="25"/>
  <c r="AB519" i="25" s="1"/>
  <c r="P518" i="25"/>
  <c r="AB518" i="25" s="1"/>
  <c r="P511" i="25"/>
  <c r="AB511" i="25" s="1"/>
  <c r="P509" i="25"/>
  <c r="AB509" i="25" s="1"/>
  <c r="P507" i="25"/>
  <c r="AB507" i="25" s="1"/>
  <c r="P505" i="25"/>
  <c r="AB505" i="25" s="1"/>
  <c r="P503" i="25"/>
  <c r="AB503" i="25" s="1"/>
  <c r="P501" i="25"/>
  <c r="AB501" i="25" s="1"/>
  <c r="P499" i="25"/>
  <c r="AB499" i="25" s="1"/>
  <c r="P497" i="25"/>
  <c r="AB497" i="25" s="1"/>
  <c r="P495" i="25"/>
  <c r="AB495" i="25" s="1"/>
  <c r="P493" i="25"/>
  <c r="AB493" i="25" s="1"/>
  <c r="P491" i="25"/>
  <c r="AB491" i="25" s="1"/>
  <c r="P489" i="25"/>
  <c r="AB489" i="25" s="1"/>
  <c r="P487" i="25"/>
  <c r="AB487" i="25" s="1"/>
  <c r="P485" i="25"/>
  <c r="AB485" i="25" s="1"/>
  <c r="P481" i="25"/>
  <c r="AB481" i="25" s="1"/>
  <c r="P474" i="25"/>
  <c r="AB474" i="25" s="1"/>
  <c r="P473" i="25"/>
  <c r="AB473" i="25" s="1"/>
  <c r="P466" i="25"/>
  <c r="AB466" i="25" s="1"/>
  <c r="P465" i="25"/>
  <c r="AB465" i="25" s="1"/>
  <c r="P462" i="25"/>
  <c r="AB462" i="25" s="1"/>
  <c r="P460" i="25"/>
  <c r="AB460" i="25" s="1"/>
  <c r="P458" i="25"/>
  <c r="AB458" i="25" s="1"/>
  <c r="P456" i="25"/>
  <c r="AB456" i="25" s="1"/>
  <c r="P454" i="25"/>
  <c r="AB454" i="25" s="1"/>
  <c r="P452" i="25"/>
  <c r="AB452" i="25" s="1"/>
  <c r="P450" i="25"/>
  <c r="AB450" i="25" s="1"/>
  <c r="P448" i="25"/>
  <c r="AB448" i="25" s="1"/>
  <c r="P446" i="25"/>
  <c r="AB446" i="25" s="1"/>
  <c r="P444" i="25"/>
  <c r="AB444" i="25" s="1"/>
  <c r="P442" i="25"/>
  <c r="AB442" i="25" s="1"/>
  <c r="P440" i="25"/>
  <c r="AB440" i="25" s="1"/>
  <c r="P438" i="25"/>
  <c r="AB438" i="25" s="1"/>
  <c r="P436" i="25"/>
  <c r="AB436" i="25" s="1"/>
  <c r="P434" i="25"/>
  <c r="AB434" i="25" s="1"/>
  <c r="P432" i="25"/>
  <c r="AB432" i="25" s="1"/>
  <c r="P430" i="25"/>
  <c r="AB430" i="25" s="1"/>
  <c r="P428" i="25"/>
  <c r="AB428" i="25" s="1"/>
  <c r="P426" i="25"/>
  <c r="AB426" i="25" s="1"/>
  <c r="P424" i="25"/>
  <c r="AB424" i="25" s="1"/>
  <c r="P422" i="25"/>
  <c r="AB422" i="25" s="1"/>
  <c r="P420" i="25"/>
  <c r="AB420" i="25" s="1"/>
  <c r="P418" i="25"/>
  <c r="AB418" i="25" s="1"/>
  <c r="P416" i="25"/>
  <c r="AB416" i="25" s="1"/>
  <c r="P414" i="25"/>
  <c r="AB414" i="25" s="1"/>
  <c r="P412" i="25"/>
  <c r="AB412" i="25" s="1"/>
  <c r="P410" i="25"/>
  <c r="AB410" i="25" s="1"/>
  <c r="P408" i="25"/>
  <c r="AB408" i="25" s="1"/>
  <c r="P406" i="25"/>
  <c r="AB406" i="25" s="1"/>
  <c r="P404" i="25"/>
  <c r="AB404" i="25" s="1"/>
  <c r="P402" i="25"/>
  <c r="AB402" i="25" s="1"/>
  <c r="P400" i="25"/>
  <c r="AB400" i="25" s="1"/>
  <c r="P523" i="25"/>
  <c r="AB523" i="25" s="1"/>
  <c r="P483" i="25"/>
  <c r="AB483" i="25" s="1"/>
  <c r="P480" i="25"/>
  <c r="AB480" i="25" s="1"/>
  <c r="P479" i="25"/>
  <c r="AB479" i="25" s="1"/>
  <c r="P472" i="25"/>
  <c r="AB472" i="25" s="1"/>
  <c r="P471" i="25"/>
  <c r="AB471" i="25" s="1"/>
  <c r="P464" i="25"/>
  <c r="AB464" i="25" s="1"/>
  <c r="P513" i="25"/>
  <c r="AB513" i="25" s="1"/>
  <c r="P512" i="25"/>
  <c r="AB512" i="25" s="1"/>
  <c r="P476" i="25"/>
  <c r="AB476" i="25" s="1"/>
  <c r="P475" i="25"/>
  <c r="AB475" i="25" s="1"/>
  <c r="P468" i="25"/>
  <c r="AB468" i="25" s="1"/>
  <c r="P467" i="25"/>
  <c r="AB467" i="25" s="1"/>
  <c r="P478" i="25"/>
  <c r="AB478" i="25" s="1"/>
  <c r="P477" i="25"/>
  <c r="AB477" i="25" s="1"/>
  <c r="P459" i="25"/>
  <c r="AB459" i="25" s="1"/>
  <c r="P451" i="25"/>
  <c r="AB451" i="25" s="1"/>
  <c r="P443" i="25"/>
  <c r="AB443" i="25" s="1"/>
  <c r="P435" i="25"/>
  <c r="AB435" i="25" s="1"/>
  <c r="P421" i="25"/>
  <c r="AB421" i="25" s="1"/>
  <c r="P413" i="25"/>
  <c r="AB413" i="25" s="1"/>
  <c r="P405" i="25"/>
  <c r="AB405" i="25" s="1"/>
  <c r="P520" i="25"/>
  <c r="AB520" i="25" s="1"/>
  <c r="P470" i="25"/>
  <c r="AB470" i="25" s="1"/>
  <c r="P469" i="25"/>
  <c r="AB469" i="25" s="1"/>
  <c r="P461" i="25"/>
  <c r="AB461" i="25" s="1"/>
  <c r="P453" i="25"/>
  <c r="AB453" i="25" s="1"/>
  <c r="P445" i="25"/>
  <c r="AB445" i="25" s="1"/>
  <c r="P437" i="25"/>
  <c r="AB437" i="25" s="1"/>
  <c r="P429" i="25"/>
  <c r="AB429" i="25" s="1"/>
  <c r="P427" i="25"/>
  <c r="AB427" i="25" s="1"/>
  <c r="P419" i="25"/>
  <c r="AB419" i="25" s="1"/>
  <c r="P411" i="25"/>
  <c r="AB411" i="25" s="1"/>
  <c r="P403" i="25"/>
  <c r="AB403" i="25" s="1"/>
  <c r="P521" i="25"/>
  <c r="AB521" i="25" s="1"/>
  <c r="P457" i="25"/>
  <c r="AB457" i="25" s="1"/>
  <c r="P449" i="25"/>
  <c r="AB449" i="25" s="1"/>
  <c r="P441" i="25"/>
  <c r="AB441" i="25" s="1"/>
  <c r="P433" i="25"/>
  <c r="AB433" i="25" s="1"/>
  <c r="P423" i="25"/>
  <c r="AB423" i="25" s="1"/>
  <c r="P415" i="25"/>
  <c r="AB415" i="25" s="1"/>
  <c r="P407" i="25"/>
  <c r="AB407" i="25" s="1"/>
  <c r="P399" i="25"/>
  <c r="AB399" i="25" s="1"/>
  <c r="P397" i="25"/>
  <c r="AB397" i="25" s="1"/>
  <c r="P395" i="25"/>
  <c r="AB395" i="25" s="1"/>
  <c r="P393" i="25"/>
  <c r="AB393" i="25" s="1"/>
  <c r="P391" i="25"/>
  <c r="AB391" i="25" s="1"/>
  <c r="P389" i="25"/>
  <c r="AB389" i="25" s="1"/>
  <c r="P387" i="25"/>
  <c r="AB387" i="25" s="1"/>
  <c r="P385" i="25"/>
  <c r="AB385" i="25" s="1"/>
  <c r="P383" i="25"/>
  <c r="AB383" i="25" s="1"/>
  <c r="P381" i="25"/>
  <c r="AB381" i="25" s="1"/>
  <c r="P379" i="25"/>
  <c r="AB379" i="25" s="1"/>
  <c r="P377" i="25"/>
  <c r="AB377" i="25" s="1"/>
  <c r="P375" i="25"/>
  <c r="AB375" i="25" s="1"/>
  <c r="P447" i="25"/>
  <c r="AB447" i="25" s="1"/>
  <c r="P417" i="25"/>
  <c r="AB417" i="25" s="1"/>
  <c r="P394" i="25"/>
  <c r="AB394" i="25" s="1"/>
  <c r="P386" i="25"/>
  <c r="AB386" i="25" s="1"/>
  <c r="P378" i="25"/>
  <c r="AB378" i="25" s="1"/>
  <c r="P373" i="25"/>
  <c r="AB373" i="25" s="1"/>
  <c r="P371" i="25"/>
  <c r="AB371" i="25" s="1"/>
  <c r="P369" i="25"/>
  <c r="AB369" i="25" s="1"/>
  <c r="P367" i="25"/>
  <c r="AB367" i="25" s="1"/>
  <c r="P365" i="25"/>
  <c r="AB365" i="25" s="1"/>
  <c r="P363" i="25"/>
  <c r="AB363" i="25" s="1"/>
  <c r="P361" i="25"/>
  <c r="AB361" i="25" s="1"/>
  <c r="P359" i="25"/>
  <c r="AB359" i="25" s="1"/>
  <c r="P357" i="25"/>
  <c r="AB357" i="25" s="1"/>
  <c r="P355" i="25"/>
  <c r="AB355" i="25" s="1"/>
  <c r="P353" i="25"/>
  <c r="AB353" i="25" s="1"/>
  <c r="P351" i="25"/>
  <c r="AB351" i="25" s="1"/>
  <c r="P349" i="25"/>
  <c r="AB349" i="25" s="1"/>
  <c r="P347" i="25"/>
  <c r="AB347" i="25" s="1"/>
  <c r="P345" i="25"/>
  <c r="AB345" i="25" s="1"/>
  <c r="P343" i="25"/>
  <c r="AB343" i="25" s="1"/>
  <c r="P341" i="25"/>
  <c r="AB341" i="25" s="1"/>
  <c r="P339" i="25"/>
  <c r="AB339" i="25" s="1"/>
  <c r="P337" i="25"/>
  <c r="AB337" i="25" s="1"/>
  <c r="P335" i="25"/>
  <c r="AB335" i="25" s="1"/>
  <c r="P333" i="25"/>
  <c r="AB333" i="25" s="1"/>
  <c r="P331" i="25"/>
  <c r="AB331" i="25" s="1"/>
  <c r="P329" i="25"/>
  <c r="AB329" i="25" s="1"/>
  <c r="P327" i="25"/>
  <c r="AB327" i="25" s="1"/>
  <c r="P325" i="25"/>
  <c r="AB325" i="25" s="1"/>
  <c r="P323" i="25"/>
  <c r="AB323" i="25" s="1"/>
  <c r="P321" i="25"/>
  <c r="AB321" i="25" s="1"/>
  <c r="P319" i="25"/>
  <c r="AB319" i="25" s="1"/>
  <c r="P317" i="25"/>
  <c r="AB317" i="25" s="1"/>
  <c r="P315" i="25"/>
  <c r="AB315" i="25" s="1"/>
  <c r="P313" i="25"/>
  <c r="AB313" i="25" s="1"/>
  <c r="P311" i="25"/>
  <c r="AB311" i="25" s="1"/>
  <c r="P309" i="25"/>
  <c r="AB309" i="25" s="1"/>
  <c r="P307" i="25"/>
  <c r="AB307" i="25" s="1"/>
  <c r="P305" i="25"/>
  <c r="AB305" i="25" s="1"/>
  <c r="P303" i="25"/>
  <c r="AB303" i="25" s="1"/>
  <c r="P301" i="25"/>
  <c r="AB301" i="25" s="1"/>
  <c r="P299" i="25"/>
  <c r="AB299" i="25" s="1"/>
  <c r="P297" i="25"/>
  <c r="AB297" i="25" s="1"/>
  <c r="P295" i="25"/>
  <c r="AB295" i="25" s="1"/>
  <c r="P293" i="25"/>
  <c r="AB293" i="25" s="1"/>
  <c r="P291" i="25"/>
  <c r="AB291" i="25" s="1"/>
  <c r="P289" i="25"/>
  <c r="AB289" i="25" s="1"/>
  <c r="P287" i="25"/>
  <c r="AB287" i="25" s="1"/>
  <c r="P285" i="25"/>
  <c r="AB285" i="25" s="1"/>
  <c r="P283" i="25"/>
  <c r="AB283" i="25" s="1"/>
  <c r="P281" i="25"/>
  <c r="AB281" i="25" s="1"/>
  <c r="P279" i="25"/>
  <c r="AB279" i="25" s="1"/>
  <c r="P455" i="25"/>
  <c r="AB455" i="25" s="1"/>
  <c r="P409" i="25"/>
  <c r="AB409" i="25" s="1"/>
  <c r="P392" i="25"/>
  <c r="AB392" i="25" s="1"/>
  <c r="P384" i="25"/>
  <c r="AB384" i="25" s="1"/>
  <c r="P376" i="25"/>
  <c r="AB376" i="25" s="1"/>
  <c r="P439" i="25"/>
  <c r="AB439" i="25" s="1"/>
  <c r="P425" i="25"/>
  <c r="AB425" i="25" s="1"/>
  <c r="P396" i="25"/>
  <c r="AB396" i="25" s="1"/>
  <c r="P388" i="25"/>
  <c r="AB388" i="25" s="1"/>
  <c r="P380" i="25"/>
  <c r="AB380" i="25" s="1"/>
  <c r="P463" i="25"/>
  <c r="AB463" i="25" s="1"/>
  <c r="P401" i="25"/>
  <c r="AB401" i="25" s="1"/>
  <c r="P390" i="25"/>
  <c r="AB390" i="25" s="1"/>
  <c r="P368" i="25"/>
  <c r="AB368" i="25" s="1"/>
  <c r="P362" i="25"/>
  <c r="AB362" i="25" s="1"/>
  <c r="P358" i="25"/>
  <c r="AB358" i="25" s="1"/>
  <c r="P354" i="25"/>
  <c r="AB354" i="25" s="1"/>
  <c r="P350" i="25"/>
  <c r="AB350" i="25" s="1"/>
  <c r="P346" i="25"/>
  <c r="AB346" i="25" s="1"/>
  <c r="P336" i="25"/>
  <c r="AB336" i="25" s="1"/>
  <c r="P328" i="25"/>
  <c r="AB328" i="25" s="1"/>
  <c r="P320" i="25"/>
  <c r="AB320" i="25" s="1"/>
  <c r="P312" i="25"/>
  <c r="AB312" i="25" s="1"/>
  <c r="P304" i="25"/>
  <c r="AB304" i="25" s="1"/>
  <c r="P296" i="25"/>
  <c r="AB296" i="25" s="1"/>
  <c r="P288" i="25"/>
  <c r="AB288" i="25" s="1"/>
  <c r="P280" i="25"/>
  <c r="AB280" i="25" s="1"/>
  <c r="P278" i="25"/>
  <c r="AB278" i="25" s="1"/>
  <c r="P276" i="25"/>
  <c r="AB276" i="25" s="1"/>
  <c r="P274" i="25"/>
  <c r="AB274" i="25" s="1"/>
  <c r="P272" i="25"/>
  <c r="AB272" i="25" s="1"/>
  <c r="P270" i="25"/>
  <c r="AB270" i="25" s="1"/>
  <c r="P268" i="25"/>
  <c r="AB268" i="25" s="1"/>
  <c r="P266" i="25"/>
  <c r="AB266" i="25" s="1"/>
  <c r="P264" i="25"/>
  <c r="AB264" i="25" s="1"/>
  <c r="P382" i="25"/>
  <c r="AB382" i="25" s="1"/>
  <c r="P370" i="25"/>
  <c r="AB370" i="25" s="1"/>
  <c r="P342" i="25"/>
  <c r="AB342" i="25" s="1"/>
  <c r="P334" i="25"/>
  <c r="AB334" i="25" s="1"/>
  <c r="P326" i="25"/>
  <c r="AB326" i="25" s="1"/>
  <c r="P318" i="25"/>
  <c r="AB318" i="25" s="1"/>
  <c r="P310" i="25"/>
  <c r="AB310" i="25" s="1"/>
  <c r="P302" i="25"/>
  <c r="AB302" i="25" s="1"/>
  <c r="P294" i="25"/>
  <c r="AB294" i="25" s="1"/>
  <c r="P286" i="25"/>
  <c r="AB286" i="25" s="1"/>
  <c r="P431" i="25"/>
  <c r="AB431" i="25" s="1"/>
  <c r="P398" i="25"/>
  <c r="AB398" i="25" s="1"/>
  <c r="P374" i="25"/>
  <c r="AB374" i="25" s="1"/>
  <c r="P366" i="25"/>
  <c r="AB366" i="25" s="1"/>
  <c r="P338" i="25"/>
  <c r="AB338" i="25" s="1"/>
  <c r="P330" i="25"/>
  <c r="AB330" i="25" s="1"/>
  <c r="P322" i="25"/>
  <c r="AB322" i="25" s="1"/>
  <c r="P314" i="25"/>
  <c r="AB314" i="25" s="1"/>
  <c r="P306" i="25"/>
  <c r="AB306" i="25" s="1"/>
  <c r="P298" i="25"/>
  <c r="AB298" i="25" s="1"/>
  <c r="P290" i="25"/>
  <c r="AB290" i="25" s="1"/>
  <c r="P282" i="25"/>
  <c r="AB282" i="25" s="1"/>
  <c r="P360" i="25"/>
  <c r="AB360" i="25" s="1"/>
  <c r="P344" i="25"/>
  <c r="AB344" i="25" s="1"/>
  <c r="P316" i="25"/>
  <c r="AB316" i="25" s="1"/>
  <c r="P284" i="25"/>
  <c r="AB284" i="25" s="1"/>
  <c r="P271" i="25"/>
  <c r="AB271" i="25" s="1"/>
  <c r="P263" i="25"/>
  <c r="AB263" i="25" s="1"/>
  <c r="P256" i="25"/>
  <c r="AB256" i="25" s="1"/>
  <c r="P255" i="25"/>
  <c r="AB255" i="25" s="1"/>
  <c r="P248" i="25"/>
  <c r="AB248" i="25" s="1"/>
  <c r="P247" i="25"/>
  <c r="AB247" i="25" s="1"/>
  <c r="P240" i="25"/>
  <c r="AB240" i="25" s="1"/>
  <c r="P239" i="25"/>
  <c r="AB239" i="25" s="1"/>
  <c r="P232" i="25"/>
  <c r="AB232" i="25" s="1"/>
  <c r="P231" i="25"/>
  <c r="AB231" i="25" s="1"/>
  <c r="P364" i="25"/>
  <c r="AB364" i="25" s="1"/>
  <c r="P348" i="25"/>
  <c r="AB348" i="25" s="1"/>
  <c r="P340" i="25"/>
  <c r="AB340" i="25" s="1"/>
  <c r="P308" i="25"/>
  <c r="AB308" i="25" s="1"/>
  <c r="P273" i="25"/>
  <c r="AB273" i="25" s="1"/>
  <c r="P265" i="25"/>
  <c r="AB265" i="25" s="1"/>
  <c r="P262" i="25"/>
  <c r="AB262" i="25" s="1"/>
  <c r="P261" i="25"/>
  <c r="AB261" i="25" s="1"/>
  <c r="P254" i="25"/>
  <c r="AB254" i="25" s="1"/>
  <c r="P253" i="25"/>
  <c r="AB253" i="25" s="1"/>
  <c r="P246" i="25"/>
  <c r="AB246" i="25" s="1"/>
  <c r="P245" i="25"/>
  <c r="AB245" i="25" s="1"/>
  <c r="P238" i="25"/>
  <c r="AB238" i="25" s="1"/>
  <c r="P237" i="25"/>
  <c r="AB237" i="25" s="1"/>
  <c r="P230" i="25"/>
  <c r="AB230" i="25" s="1"/>
  <c r="P229" i="25"/>
  <c r="AB229" i="25" s="1"/>
  <c r="P224" i="25"/>
  <c r="AB224" i="25" s="1"/>
  <c r="P222" i="25"/>
  <c r="AB222" i="25" s="1"/>
  <c r="P220" i="25"/>
  <c r="AB220" i="25" s="1"/>
  <c r="P356" i="25"/>
  <c r="AB356" i="25" s="1"/>
  <c r="P324" i="25"/>
  <c r="AB324" i="25" s="1"/>
  <c r="P292" i="25"/>
  <c r="AB292" i="25" s="1"/>
  <c r="P277" i="25"/>
  <c r="AB277" i="25" s="1"/>
  <c r="P269" i="25"/>
  <c r="AB269" i="25" s="1"/>
  <c r="P258" i="25"/>
  <c r="AB258" i="25" s="1"/>
  <c r="P257" i="25"/>
  <c r="AB257" i="25" s="1"/>
  <c r="P250" i="25"/>
  <c r="AB250" i="25" s="1"/>
  <c r="P249" i="25"/>
  <c r="AB249" i="25" s="1"/>
  <c r="P242" i="25"/>
  <c r="AB242" i="25" s="1"/>
  <c r="P241" i="25"/>
  <c r="AB241" i="25" s="1"/>
  <c r="P234" i="25"/>
  <c r="AB234" i="25" s="1"/>
  <c r="P233" i="25"/>
  <c r="AB233" i="25" s="1"/>
  <c r="P226" i="25"/>
  <c r="AB226" i="25" s="1"/>
  <c r="P225" i="25"/>
  <c r="AB225" i="25" s="1"/>
  <c r="P223" i="25"/>
  <c r="AB223" i="25" s="1"/>
  <c r="P221" i="25"/>
  <c r="AB221" i="25" s="1"/>
  <c r="P219" i="25"/>
  <c r="AB219" i="25" s="1"/>
  <c r="P217" i="25"/>
  <c r="AB217" i="25" s="1"/>
  <c r="P215" i="25"/>
  <c r="AB215" i="25" s="1"/>
  <c r="P213" i="25"/>
  <c r="AB213" i="25" s="1"/>
  <c r="P211" i="25"/>
  <c r="AB211" i="25" s="1"/>
  <c r="P209" i="25"/>
  <c r="AB209" i="25" s="1"/>
  <c r="P207" i="25"/>
  <c r="AB207" i="25" s="1"/>
  <c r="P205" i="25"/>
  <c r="AB205" i="25" s="1"/>
  <c r="P203" i="25"/>
  <c r="AB203" i="25" s="1"/>
  <c r="P201" i="25"/>
  <c r="AB201" i="25" s="1"/>
  <c r="P199" i="25"/>
  <c r="AB199" i="25" s="1"/>
  <c r="P197" i="25"/>
  <c r="AB197" i="25" s="1"/>
  <c r="P195" i="25"/>
  <c r="AB195" i="25" s="1"/>
  <c r="P193" i="25"/>
  <c r="AB193" i="25" s="1"/>
  <c r="P191" i="25"/>
  <c r="AB191" i="25" s="1"/>
  <c r="P189" i="25"/>
  <c r="AB189" i="25" s="1"/>
  <c r="P187" i="25"/>
  <c r="AB187" i="25" s="1"/>
  <c r="P185" i="25"/>
  <c r="AB185" i="25" s="1"/>
  <c r="P183" i="25"/>
  <c r="AB183" i="25" s="1"/>
  <c r="P181" i="25"/>
  <c r="AB181" i="25" s="1"/>
  <c r="P179" i="25"/>
  <c r="AB179" i="25" s="1"/>
  <c r="P177" i="25"/>
  <c r="AB177" i="25" s="1"/>
  <c r="P175" i="25"/>
  <c r="AB175" i="25" s="1"/>
  <c r="P173" i="25"/>
  <c r="AB173" i="25" s="1"/>
  <c r="P171" i="25"/>
  <c r="AB171" i="25" s="1"/>
  <c r="P169" i="25"/>
  <c r="AB169" i="25" s="1"/>
  <c r="P167" i="25"/>
  <c r="AB167" i="25" s="1"/>
  <c r="P165" i="25"/>
  <c r="AB165" i="25" s="1"/>
  <c r="P163" i="25"/>
  <c r="AB163" i="25" s="1"/>
  <c r="P161" i="25"/>
  <c r="AB161" i="25" s="1"/>
  <c r="P159" i="25"/>
  <c r="AB159" i="25" s="1"/>
  <c r="P157" i="25"/>
  <c r="AB157" i="25" s="1"/>
  <c r="P155" i="25"/>
  <c r="AB155" i="25" s="1"/>
  <c r="P153" i="25"/>
  <c r="AB153" i="25" s="1"/>
  <c r="P151" i="25"/>
  <c r="AB151" i="25" s="1"/>
  <c r="P149" i="25"/>
  <c r="AB149" i="25" s="1"/>
  <c r="P147" i="25"/>
  <c r="AB147" i="25" s="1"/>
  <c r="P145" i="25"/>
  <c r="AB145" i="25" s="1"/>
  <c r="P143" i="25"/>
  <c r="AB143" i="25" s="1"/>
  <c r="P141" i="25"/>
  <c r="AB141" i="25" s="1"/>
  <c r="P139" i="25"/>
  <c r="AB139" i="25" s="1"/>
  <c r="P137" i="25"/>
  <c r="AB137" i="25" s="1"/>
  <c r="P135" i="25"/>
  <c r="AB135" i="25" s="1"/>
  <c r="P133" i="25"/>
  <c r="AB133" i="25" s="1"/>
  <c r="P131" i="25"/>
  <c r="AB131" i="25" s="1"/>
  <c r="P129" i="25"/>
  <c r="AB129" i="25" s="1"/>
  <c r="P127" i="25"/>
  <c r="AB127" i="25" s="1"/>
  <c r="P125" i="25"/>
  <c r="AB125" i="25" s="1"/>
  <c r="P123" i="25"/>
  <c r="AB123" i="25" s="1"/>
  <c r="P121" i="25"/>
  <c r="AB121" i="25" s="1"/>
  <c r="P119" i="25"/>
  <c r="AB119" i="25" s="1"/>
  <c r="P117" i="25"/>
  <c r="AB117" i="25" s="1"/>
  <c r="P115" i="25"/>
  <c r="AB115" i="25" s="1"/>
  <c r="P113" i="25"/>
  <c r="AB113" i="25" s="1"/>
  <c r="P111" i="25"/>
  <c r="AB111" i="25" s="1"/>
  <c r="P109" i="25"/>
  <c r="AB109" i="25" s="1"/>
  <c r="P107" i="25"/>
  <c r="AB107" i="25" s="1"/>
  <c r="P105" i="25"/>
  <c r="AB105" i="25" s="1"/>
  <c r="P103" i="25"/>
  <c r="AB103" i="25" s="1"/>
  <c r="P101" i="25"/>
  <c r="AB101" i="25" s="1"/>
  <c r="P99" i="25"/>
  <c r="AB99" i="25" s="1"/>
  <c r="P97" i="25"/>
  <c r="AB97" i="25" s="1"/>
  <c r="P95" i="25"/>
  <c r="AB95" i="25" s="1"/>
  <c r="P93" i="25"/>
  <c r="AB93" i="25" s="1"/>
  <c r="P91" i="25"/>
  <c r="AB91" i="25" s="1"/>
  <c r="P89" i="25"/>
  <c r="AB89" i="25" s="1"/>
  <c r="P87" i="25"/>
  <c r="AB87" i="25" s="1"/>
  <c r="P85" i="25"/>
  <c r="AB85" i="25" s="1"/>
  <c r="P83" i="25"/>
  <c r="AB83" i="25" s="1"/>
  <c r="P81" i="25"/>
  <c r="AB81" i="25" s="1"/>
  <c r="P79" i="25"/>
  <c r="AB79" i="25" s="1"/>
  <c r="P77" i="25"/>
  <c r="AB77" i="25" s="1"/>
  <c r="P75" i="25"/>
  <c r="AB75" i="25" s="1"/>
  <c r="P73" i="25"/>
  <c r="AB73" i="25" s="1"/>
  <c r="P71" i="25"/>
  <c r="AB71" i="25" s="1"/>
  <c r="P69" i="25"/>
  <c r="AB69" i="25" s="1"/>
  <c r="P67" i="25"/>
  <c r="AB67" i="25" s="1"/>
  <c r="P65" i="25"/>
  <c r="AB65" i="25" s="1"/>
  <c r="P63" i="25"/>
  <c r="AB63" i="25" s="1"/>
  <c r="P61" i="25"/>
  <c r="AB61" i="25" s="1"/>
  <c r="P59" i="25"/>
  <c r="AB59" i="25" s="1"/>
  <c r="P57" i="25"/>
  <c r="AB57" i="25" s="1"/>
  <c r="P55" i="25"/>
  <c r="AB55" i="25" s="1"/>
  <c r="P53" i="25"/>
  <c r="AB53" i="25" s="1"/>
  <c r="P51" i="25"/>
  <c r="AB51" i="25" s="1"/>
  <c r="P49" i="25"/>
  <c r="AB49" i="25" s="1"/>
  <c r="P47" i="25"/>
  <c r="AB47" i="25" s="1"/>
  <c r="P45" i="25"/>
  <c r="AB45" i="25" s="1"/>
  <c r="P43" i="25"/>
  <c r="AB43" i="25" s="1"/>
  <c r="P41" i="25"/>
  <c r="AB41" i="25" s="1"/>
  <c r="P39" i="25"/>
  <c r="AB39" i="25" s="1"/>
  <c r="P37" i="25"/>
  <c r="AB37" i="25" s="1"/>
  <c r="P35" i="25"/>
  <c r="AB35" i="25" s="1"/>
  <c r="P33" i="25"/>
  <c r="AB33" i="25" s="1"/>
  <c r="P31" i="25"/>
  <c r="AB31" i="25" s="1"/>
  <c r="P29" i="25"/>
  <c r="AB29" i="25" s="1"/>
  <c r="P300" i="25"/>
  <c r="AB300" i="25" s="1"/>
  <c r="P267" i="25"/>
  <c r="AB267" i="25" s="1"/>
  <c r="P236" i="25"/>
  <c r="AB236" i="25" s="1"/>
  <c r="P235" i="25"/>
  <c r="AB235" i="25" s="1"/>
  <c r="P216" i="25"/>
  <c r="AB216" i="25" s="1"/>
  <c r="P212" i="25"/>
  <c r="AB212" i="25" s="1"/>
  <c r="P208" i="25"/>
  <c r="AB208" i="25" s="1"/>
  <c r="P204" i="25"/>
  <c r="AB204" i="25" s="1"/>
  <c r="P200" i="25"/>
  <c r="AB200" i="25" s="1"/>
  <c r="P196" i="25"/>
  <c r="AB196" i="25" s="1"/>
  <c r="P192" i="25"/>
  <c r="AB192" i="25" s="1"/>
  <c r="P188" i="25"/>
  <c r="AB188" i="25" s="1"/>
  <c r="P184" i="25"/>
  <c r="AB184" i="25" s="1"/>
  <c r="P180" i="25"/>
  <c r="AB180" i="25" s="1"/>
  <c r="P176" i="25"/>
  <c r="AB176" i="25" s="1"/>
  <c r="P172" i="25"/>
  <c r="AB172" i="25" s="1"/>
  <c r="P168" i="25"/>
  <c r="AB168" i="25" s="1"/>
  <c r="P164" i="25"/>
  <c r="AB164" i="25" s="1"/>
  <c r="P160" i="25"/>
  <c r="AB160" i="25" s="1"/>
  <c r="P156" i="25"/>
  <c r="AB156" i="25" s="1"/>
  <c r="P152" i="25"/>
  <c r="AB152" i="25" s="1"/>
  <c r="P148" i="25"/>
  <c r="AB148" i="25" s="1"/>
  <c r="P144" i="25"/>
  <c r="AB144" i="25" s="1"/>
  <c r="P140" i="25"/>
  <c r="AB140" i="25" s="1"/>
  <c r="P136" i="25"/>
  <c r="AB136" i="25" s="1"/>
  <c r="P132" i="25"/>
  <c r="AB132" i="25" s="1"/>
  <c r="P128" i="25"/>
  <c r="P124" i="25"/>
  <c r="AB124" i="25" s="1"/>
  <c r="P120" i="25"/>
  <c r="AB120" i="25" s="1"/>
  <c r="P118" i="25"/>
  <c r="AB118" i="25" s="1"/>
  <c r="P110" i="25"/>
  <c r="AB110" i="25" s="1"/>
  <c r="P102" i="25"/>
  <c r="AB102" i="25" s="1"/>
  <c r="P94" i="25"/>
  <c r="AB94" i="25" s="1"/>
  <c r="P86" i="25"/>
  <c r="AB86" i="25" s="1"/>
  <c r="P78" i="25"/>
  <c r="AB78" i="25" s="1"/>
  <c r="P70" i="25"/>
  <c r="AB70" i="25" s="1"/>
  <c r="P62" i="25"/>
  <c r="AB62" i="25" s="1"/>
  <c r="P54" i="25"/>
  <c r="AB54" i="25" s="1"/>
  <c r="P275" i="25"/>
  <c r="AB275" i="25" s="1"/>
  <c r="P260" i="25"/>
  <c r="AB260" i="25" s="1"/>
  <c r="P259" i="25"/>
  <c r="AB259" i="25" s="1"/>
  <c r="P228" i="25"/>
  <c r="AB228" i="25" s="1"/>
  <c r="P227" i="25"/>
  <c r="AB227" i="25" s="1"/>
  <c r="P116" i="25"/>
  <c r="AB116" i="25" s="1"/>
  <c r="P108" i="25"/>
  <c r="AB108" i="25" s="1"/>
  <c r="P100" i="25"/>
  <c r="AB100" i="25" s="1"/>
  <c r="P92" i="25"/>
  <c r="AB92" i="25" s="1"/>
  <c r="P84" i="25"/>
  <c r="AB84" i="25" s="1"/>
  <c r="P76" i="25"/>
  <c r="AB76" i="25" s="1"/>
  <c r="P68" i="25"/>
  <c r="AB68" i="25" s="1"/>
  <c r="P60" i="25"/>
  <c r="AB60" i="25" s="1"/>
  <c r="P52" i="25"/>
  <c r="AB52" i="25" s="1"/>
  <c r="P44" i="25"/>
  <c r="AB44" i="25" s="1"/>
  <c r="P372" i="25"/>
  <c r="AB372" i="25" s="1"/>
  <c r="P352" i="25"/>
  <c r="AB352" i="25" s="1"/>
  <c r="P332" i="25"/>
  <c r="AB332" i="25" s="1"/>
  <c r="P244" i="25"/>
  <c r="AB244" i="25" s="1"/>
  <c r="P243" i="25"/>
  <c r="AB243" i="25" s="1"/>
  <c r="P112" i="25"/>
  <c r="AB112" i="25" s="1"/>
  <c r="P104" i="25"/>
  <c r="AB104" i="25" s="1"/>
  <c r="P96" i="25"/>
  <c r="AB96" i="25" s="1"/>
  <c r="P88" i="25"/>
  <c r="AB88" i="25" s="1"/>
  <c r="P80" i="25"/>
  <c r="AB80" i="25" s="1"/>
  <c r="P72" i="25"/>
  <c r="AB72" i="25" s="1"/>
  <c r="P64" i="25"/>
  <c r="AB64" i="25" s="1"/>
  <c r="P56" i="25"/>
  <c r="AB56" i="25" s="1"/>
  <c r="P48" i="25"/>
  <c r="AB48" i="25" s="1"/>
  <c r="P40" i="25"/>
  <c r="AB40" i="25" s="1"/>
  <c r="P32" i="25"/>
  <c r="AB32" i="25" s="1"/>
  <c r="P27" i="25"/>
  <c r="AB27" i="25" s="1"/>
  <c r="P25" i="25"/>
  <c r="AB25" i="25" s="1"/>
  <c r="P23" i="25"/>
  <c r="AB23" i="25" s="1"/>
  <c r="P21" i="25"/>
  <c r="AB21" i="25" s="1"/>
  <c r="P19" i="25"/>
  <c r="AB19" i="25" s="1"/>
  <c r="P17" i="25"/>
  <c r="AB17" i="25" s="1"/>
  <c r="P15" i="25"/>
  <c r="AB15" i="25" s="1"/>
  <c r="P13" i="25"/>
  <c r="AB13" i="25" s="1"/>
  <c r="P46" i="25"/>
  <c r="AB46" i="25" s="1"/>
  <c r="P38" i="25"/>
  <c r="AB38" i="25" s="1"/>
  <c r="P30" i="25"/>
  <c r="AB30" i="25" s="1"/>
  <c r="P214" i="25"/>
  <c r="AB214" i="25" s="1"/>
  <c r="P198" i="25"/>
  <c r="AB198" i="25" s="1"/>
  <c r="P182" i="25"/>
  <c r="AB182" i="25" s="1"/>
  <c r="P166" i="25"/>
  <c r="AB166" i="25" s="1"/>
  <c r="P150" i="25"/>
  <c r="AB150" i="25" s="1"/>
  <c r="P134" i="25"/>
  <c r="AB134" i="25" s="1"/>
  <c r="P98" i="25"/>
  <c r="AB98" i="25" s="1"/>
  <c r="P66" i="25"/>
  <c r="AB66" i="25" s="1"/>
  <c r="P174" i="25"/>
  <c r="AB174" i="25" s="1"/>
  <c r="P158" i="25"/>
  <c r="AB158" i="25" s="1"/>
  <c r="P24" i="25"/>
  <c r="AB24" i="25" s="1"/>
  <c r="P251" i="25"/>
  <c r="AB251" i="25" s="1"/>
  <c r="P218" i="25"/>
  <c r="AB218" i="25" s="1"/>
  <c r="P202" i="25"/>
  <c r="AB202" i="25" s="1"/>
  <c r="P186" i="25"/>
  <c r="AB186" i="25" s="1"/>
  <c r="P170" i="25"/>
  <c r="AB170" i="25" s="1"/>
  <c r="P154" i="25"/>
  <c r="AB154" i="25" s="1"/>
  <c r="P138" i="25"/>
  <c r="AB138" i="25" s="1"/>
  <c r="P122" i="25"/>
  <c r="AB122" i="25" s="1"/>
  <c r="P90" i="25"/>
  <c r="AB90" i="25" s="1"/>
  <c r="P58" i="25"/>
  <c r="AB58" i="25" s="1"/>
  <c r="P36" i="25"/>
  <c r="AB36" i="25" s="1"/>
  <c r="P26" i="25"/>
  <c r="AB26" i="25" s="1"/>
  <c r="P18" i="25"/>
  <c r="AB18" i="25" s="1"/>
  <c r="P190" i="25"/>
  <c r="AB190" i="25" s="1"/>
  <c r="P142" i="25"/>
  <c r="AB142" i="25" s="1"/>
  <c r="P126" i="25"/>
  <c r="AB126" i="25" s="1"/>
  <c r="P16" i="25"/>
  <c r="AB16" i="25" s="1"/>
  <c r="P252" i="25"/>
  <c r="AB252" i="25" s="1"/>
  <c r="P210" i="25"/>
  <c r="AB210" i="25" s="1"/>
  <c r="P194" i="25"/>
  <c r="AB194" i="25" s="1"/>
  <c r="P178" i="25"/>
  <c r="AB178" i="25" s="1"/>
  <c r="P162" i="25"/>
  <c r="AB162" i="25" s="1"/>
  <c r="P146" i="25"/>
  <c r="AB146" i="25" s="1"/>
  <c r="P130" i="25"/>
  <c r="AB130" i="25" s="1"/>
  <c r="P106" i="25"/>
  <c r="AB106" i="25" s="1"/>
  <c r="P74" i="25"/>
  <c r="AB74" i="25" s="1"/>
  <c r="P42" i="25"/>
  <c r="AB42" i="25" s="1"/>
  <c r="P28" i="25"/>
  <c r="AB28" i="25" s="1"/>
  <c r="P22" i="25"/>
  <c r="AB22" i="25" s="1"/>
  <c r="P14" i="25"/>
  <c r="AB14" i="25" s="1"/>
  <c r="P20" i="25"/>
  <c r="AB20" i="25" s="1"/>
  <c r="P206" i="25"/>
  <c r="AB206" i="25" s="1"/>
  <c r="P114" i="25"/>
  <c r="AB114" i="25" s="1"/>
  <c r="P82" i="25"/>
  <c r="AB82" i="25" s="1"/>
  <c r="P50" i="25"/>
  <c r="AB50" i="25" s="1"/>
  <c r="P34" i="25"/>
  <c r="AB34" i="25" s="1"/>
  <c r="O293" i="25"/>
  <c r="AA293" i="25" s="1"/>
  <c r="O123" i="25"/>
  <c r="AA123" i="25" s="1"/>
  <c r="O139" i="25"/>
  <c r="AA139" i="25" s="1"/>
  <c r="O155" i="25"/>
  <c r="AA155" i="25" s="1"/>
  <c r="O171" i="25"/>
  <c r="AA171" i="25" s="1"/>
  <c r="O187" i="25"/>
  <c r="AA187" i="25" s="1"/>
  <c r="O203" i="25"/>
  <c r="AA203" i="25" s="1"/>
  <c r="O227" i="25"/>
  <c r="AA227" i="25" s="1"/>
  <c r="O233" i="25"/>
  <c r="AA233" i="25" s="1"/>
  <c r="O265" i="25"/>
  <c r="AA265" i="25" s="1"/>
  <c r="O229" i="25"/>
  <c r="AA229" i="25" s="1"/>
  <c r="O261" i="25"/>
  <c r="AA261" i="25" s="1"/>
  <c r="O332" i="25"/>
  <c r="AA332" i="25" s="1"/>
  <c r="O239" i="25"/>
  <c r="AA239" i="25" s="1"/>
  <c r="O267" i="25"/>
  <c r="AA267" i="25" s="1"/>
  <c r="O340" i="25"/>
  <c r="AA340" i="25" s="1"/>
  <c r="O344" i="25"/>
  <c r="AA344" i="25" s="1"/>
  <c r="O360" i="25"/>
  <c r="AA360" i="25" s="1"/>
  <c r="O346" i="25"/>
  <c r="AA346" i="25" s="1"/>
  <c r="O362" i="25"/>
  <c r="AA362" i="25" s="1"/>
  <c r="O364" i="25"/>
  <c r="AA364" i="25" s="1"/>
  <c r="O454" i="25"/>
  <c r="AA454" i="25" s="1"/>
  <c r="O501" i="25"/>
  <c r="AA501" i="25" s="1"/>
  <c r="O438" i="25"/>
  <c r="AA438" i="25" s="1"/>
  <c r="O456" i="25"/>
  <c r="AA456" i="25" s="1"/>
  <c r="O436" i="25"/>
  <c r="AA436" i="25" s="1"/>
  <c r="O493" i="25"/>
  <c r="AA493" i="25" s="1"/>
  <c r="O458" i="25"/>
  <c r="AA458" i="25" s="1"/>
  <c r="O512" i="25"/>
  <c r="AA512" i="25" s="1"/>
  <c r="O495" i="25"/>
  <c r="AA495" i="25" s="1"/>
  <c r="O491" i="25"/>
  <c r="AA491" i="25" s="1"/>
  <c r="O465" i="25"/>
  <c r="AA465" i="25" s="1"/>
  <c r="O497" i="25"/>
  <c r="AA497" i="25" s="1"/>
  <c r="O524" i="25"/>
  <c r="AA524" i="25" s="1"/>
  <c r="O549" i="25"/>
  <c r="AA549" i="25" s="1"/>
  <c r="O531" i="25"/>
  <c r="AA531" i="25" s="1"/>
  <c r="O535" i="25"/>
  <c r="AA535" i="25" s="1"/>
  <c r="O568" i="25"/>
  <c r="AA568" i="25" s="1"/>
  <c r="O553" i="25"/>
  <c r="AA553" i="25" s="1"/>
  <c r="O584" i="25"/>
  <c r="AA584" i="25" s="1"/>
  <c r="O566" i="25"/>
  <c r="AA566" i="25" s="1"/>
  <c r="O572" i="25"/>
  <c r="AA572" i="25" s="1"/>
  <c r="O586" i="25"/>
  <c r="AA586" i="25" s="1"/>
  <c r="O602" i="25"/>
  <c r="AA602" i="25" s="1"/>
  <c r="O611" i="25"/>
  <c r="AA611" i="25" s="1"/>
  <c r="O59" i="25"/>
  <c r="AA59" i="25" s="1"/>
  <c r="O66" i="25"/>
  <c r="AA66" i="25" s="1"/>
  <c r="O193" i="25"/>
  <c r="AA193" i="25" s="1"/>
  <c r="O74" i="25"/>
  <c r="AA74" i="25" s="1"/>
  <c r="O137" i="25"/>
  <c r="AA137" i="25" s="1"/>
  <c r="O205" i="25"/>
  <c r="AA205" i="25" s="1"/>
  <c r="O243" i="25"/>
  <c r="AA243" i="25" s="1"/>
  <c r="O131" i="25"/>
  <c r="AA131" i="25" s="1"/>
  <c r="O195" i="25"/>
  <c r="AA195" i="25" s="1"/>
  <c r="O249" i="25"/>
  <c r="AA249" i="25" s="1"/>
  <c r="O277" i="25"/>
  <c r="AA277" i="25" s="1"/>
  <c r="O352" i="25"/>
  <c r="AA352" i="25" s="1"/>
  <c r="O374" i="25"/>
  <c r="AA374" i="25" s="1"/>
  <c r="O446" i="25"/>
  <c r="AA446" i="25" s="1"/>
  <c r="O442" i="25"/>
  <c r="AA442" i="25" s="1"/>
  <c r="O471" i="25"/>
  <c r="AA471" i="25" s="1"/>
  <c r="O533" i="25"/>
  <c r="AA533" i="25" s="1"/>
  <c r="O551" i="25"/>
  <c r="AA551" i="25" s="1"/>
  <c r="O537" i="25"/>
  <c r="AA537" i="25" s="1"/>
  <c r="O590" i="25"/>
  <c r="AA590" i="25" s="1"/>
  <c r="O324" i="25"/>
  <c r="AA324" i="25" s="1"/>
  <c r="O189" i="25"/>
  <c r="AA189" i="25" s="1"/>
  <c r="O78" i="25"/>
  <c r="AA78" i="25" s="1"/>
  <c r="O149" i="25"/>
  <c r="AA149" i="25" s="1"/>
  <c r="O213" i="25"/>
  <c r="AA213" i="25" s="1"/>
  <c r="O223" i="25"/>
  <c r="AA223" i="25" s="1"/>
  <c r="O219" i="25"/>
  <c r="AA219" i="25" s="1"/>
  <c r="O127" i="25"/>
  <c r="AA127" i="25" s="1"/>
  <c r="O143" i="25"/>
  <c r="AA143" i="25" s="1"/>
  <c r="O159" i="25"/>
  <c r="AA159" i="25" s="1"/>
  <c r="O175" i="25"/>
  <c r="AA175" i="25" s="1"/>
  <c r="O191" i="25"/>
  <c r="AA191" i="25" s="1"/>
  <c r="O207" i="25"/>
  <c r="AA207" i="25" s="1"/>
  <c r="O259" i="25"/>
  <c r="AA259" i="25" s="1"/>
  <c r="O241" i="25"/>
  <c r="AA241" i="25" s="1"/>
  <c r="O273" i="25"/>
  <c r="AA273" i="25" s="1"/>
  <c r="O237" i="25"/>
  <c r="AA237" i="25" s="1"/>
  <c r="O269" i="25"/>
  <c r="AA269" i="25" s="1"/>
  <c r="O398" i="25"/>
  <c r="AA398" i="25" s="1"/>
  <c r="O247" i="25"/>
  <c r="AA247" i="25" s="1"/>
  <c r="O275" i="25"/>
  <c r="AA275" i="25" s="1"/>
  <c r="O391" i="25"/>
  <c r="AA391" i="25" s="1"/>
  <c r="O348" i="25"/>
  <c r="AA348" i="25" s="1"/>
  <c r="O370" i="25"/>
  <c r="AA370" i="25" s="1"/>
  <c r="O350" i="25"/>
  <c r="AA350" i="25" s="1"/>
  <c r="O366" i="25"/>
  <c r="AA366" i="25" s="1"/>
  <c r="O372" i="25"/>
  <c r="AA372" i="25" s="1"/>
  <c r="O417" i="25"/>
  <c r="AA417" i="25" s="1"/>
  <c r="O401" i="25"/>
  <c r="AA401" i="25" s="1"/>
  <c r="O432" i="25"/>
  <c r="AA432" i="25" s="1"/>
  <c r="O477" i="25"/>
  <c r="AA477" i="25" s="1"/>
  <c r="O444" i="25"/>
  <c r="AA444" i="25" s="1"/>
  <c r="O434" i="25"/>
  <c r="AA434" i="25" s="1"/>
  <c r="O469" i="25"/>
  <c r="AA469" i="25" s="1"/>
  <c r="O467" i="25"/>
  <c r="AA467" i="25" s="1"/>
  <c r="O503" i="25"/>
  <c r="AA503" i="25" s="1"/>
  <c r="O499" i="25"/>
  <c r="AA499" i="25" s="1"/>
  <c r="O473" i="25"/>
  <c r="AA473" i="25" s="1"/>
  <c r="O505" i="25"/>
  <c r="AA505" i="25" s="1"/>
  <c r="O525" i="25"/>
  <c r="AA525" i="25" s="1"/>
  <c r="O576" i="25"/>
  <c r="AA576" i="25" s="1"/>
  <c r="O543" i="25"/>
  <c r="AA543" i="25" s="1"/>
  <c r="O539" i="25"/>
  <c r="AA539" i="25" s="1"/>
  <c r="O529" i="25"/>
  <c r="AA529" i="25" s="1"/>
  <c r="O562" i="25"/>
  <c r="AA562" i="25" s="1"/>
  <c r="O595" i="25"/>
  <c r="AA595" i="25" s="1"/>
  <c r="O574" i="25"/>
  <c r="AA574" i="25" s="1"/>
  <c r="O582" i="25"/>
  <c r="AA582" i="25" s="1"/>
  <c r="O580" i="25"/>
  <c r="AA580" i="25" s="1"/>
  <c r="O600" i="25"/>
  <c r="AA600" i="25" s="1"/>
  <c r="O609" i="25"/>
  <c r="AA609" i="25" s="1"/>
  <c r="O28" i="25"/>
  <c r="AA28" i="25" s="1"/>
  <c r="O129" i="25"/>
  <c r="AA129" i="25" s="1"/>
  <c r="O173" i="25"/>
  <c r="AA173" i="25" s="1"/>
  <c r="O201" i="25"/>
  <c r="AA201" i="25" s="1"/>
  <c r="O90" i="25"/>
  <c r="AA90" i="25" s="1"/>
  <c r="O235" i="25"/>
  <c r="AA235" i="25" s="1"/>
  <c r="O147" i="25"/>
  <c r="AA147" i="25" s="1"/>
  <c r="O211" i="25"/>
  <c r="AA211" i="25" s="1"/>
  <c r="O284" i="25"/>
  <c r="AA284" i="25" s="1"/>
  <c r="O399" i="25"/>
  <c r="AA399" i="25" s="1"/>
  <c r="O425" i="25"/>
  <c r="AA425" i="25" s="1"/>
  <c r="O354" i="25"/>
  <c r="AA354" i="25" s="1"/>
  <c r="O430" i="25"/>
  <c r="AA430" i="25" s="1"/>
  <c r="O509" i="25"/>
  <c r="AA509" i="25" s="1"/>
  <c r="O483" i="25"/>
  <c r="AA483" i="25" s="1"/>
  <c r="O481" i="25"/>
  <c r="AA481" i="25" s="1"/>
  <c r="O516" i="25"/>
  <c r="AA516" i="25" s="1"/>
  <c r="O560" i="25"/>
  <c r="AA560" i="25" s="1"/>
  <c r="O598" i="25"/>
  <c r="AA598" i="25" s="1"/>
  <c r="O94" i="25"/>
  <c r="AA94" i="25" s="1"/>
  <c r="O25" i="25"/>
  <c r="AA25" i="25" s="1"/>
  <c r="O102" i="25"/>
  <c r="AA102" i="25" s="1"/>
  <c r="O153" i="25"/>
  <c r="AA153" i="25" s="1"/>
  <c r="O217" i="25"/>
  <c r="AA217" i="25" s="1"/>
  <c r="O125" i="25"/>
  <c r="AA125" i="25" s="1"/>
  <c r="O34" i="25"/>
  <c r="AA34" i="25" s="1"/>
  <c r="O110" i="25"/>
  <c r="AA110" i="25" s="1"/>
  <c r="O181" i="25"/>
  <c r="AA181" i="25" s="1"/>
  <c r="O292" i="25"/>
  <c r="AA292" i="25" s="1"/>
  <c r="O271" i="25"/>
  <c r="AA271" i="25" s="1"/>
  <c r="O135" i="25"/>
  <c r="AA135" i="25" s="1"/>
  <c r="O151" i="25"/>
  <c r="AA151" i="25" s="1"/>
  <c r="O167" i="25"/>
  <c r="AA167" i="25" s="1"/>
  <c r="O183" i="25"/>
  <c r="AA183" i="25" s="1"/>
  <c r="O199" i="25"/>
  <c r="AA199" i="25" s="1"/>
  <c r="O215" i="25"/>
  <c r="AA215" i="25" s="1"/>
  <c r="O396" i="25"/>
  <c r="AA396" i="25" s="1"/>
  <c r="O257" i="25"/>
  <c r="AA257" i="25" s="1"/>
  <c r="O316" i="25"/>
  <c r="AA316" i="25" s="1"/>
  <c r="O253" i="25"/>
  <c r="AA253" i="25" s="1"/>
  <c r="O300" i="25"/>
  <c r="AA300" i="25" s="1"/>
  <c r="O231" i="25"/>
  <c r="AA231" i="25" s="1"/>
  <c r="O263" i="25"/>
  <c r="AA263" i="25" s="1"/>
  <c r="O328" i="25"/>
  <c r="AA328" i="25" s="1"/>
  <c r="O426" i="25"/>
  <c r="AA426" i="25" s="1"/>
  <c r="O356" i="25"/>
  <c r="AA356" i="25" s="1"/>
  <c r="O390" i="25"/>
  <c r="AA390" i="25" s="1"/>
  <c r="O358" i="25"/>
  <c r="AA358" i="25" s="1"/>
  <c r="O418" i="25"/>
  <c r="AA418" i="25" s="1"/>
  <c r="O382" i="25"/>
  <c r="AA382" i="25" s="1"/>
  <c r="O462" i="25"/>
  <c r="AA462" i="25" s="1"/>
  <c r="O409" i="25"/>
  <c r="AA409" i="25" s="1"/>
  <c r="O448" i="25"/>
  <c r="AA448" i="25" s="1"/>
  <c r="O428" i="25"/>
  <c r="AA428" i="25" s="1"/>
  <c r="O460" i="25"/>
  <c r="AA460" i="25" s="1"/>
  <c r="O450" i="25"/>
  <c r="AA450" i="25" s="1"/>
  <c r="O485" i="25"/>
  <c r="AA485" i="25" s="1"/>
  <c r="O487" i="25"/>
  <c r="AA487" i="25" s="1"/>
  <c r="O479" i="25"/>
  <c r="AA479" i="25" s="1"/>
  <c r="O520" i="25"/>
  <c r="AA520" i="25" s="1"/>
  <c r="O489" i="25"/>
  <c r="AA489" i="25" s="1"/>
  <c r="O518" i="25"/>
  <c r="AA518" i="25" s="1"/>
  <c r="O522" i="25"/>
  <c r="AA522" i="25" s="1"/>
  <c r="O541" i="25"/>
  <c r="AA541" i="25" s="1"/>
  <c r="O527" i="25"/>
  <c r="AA527" i="25" s="1"/>
  <c r="O555" i="25"/>
  <c r="AA555" i="25" s="1"/>
  <c r="O545" i="25"/>
  <c r="AA545" i="25" s="1"/>
  <c r="O570" i="25"/>
  <c r="AA570" i="25" s="1"/>
  <c r="O564" i="25"/>
  <c r="AA564" i="25" s="1"/>
  <c r="O558" i="25"/>
  <c r="AA558" i="25" s="1"/>
  <c r="O578" i="25"/>
  <c r="AA578" i="25" s="1"/>
  <c r="O606" i="25"/>
  <c r="AA606" i="25" s="1"/>
  <c r="O607" i="25"/>
  <c r="AA607" i="25" s="1"/>
  <c r="O17" i="25"/>
  <c r="AA17" i="25" s="1"/>
  <c r="O82" i="25"/>
  <c r="AA82" i="25" s="1"/>
  <c r="O325" i="25"/>
  <c r="AA325" i="25" s="1"/>
  <c r="O165" i="25"/>
  <c r="AA165" i="25" s="1"/>
  <c r="O251" i="25"/>
  <c r="AA251" i="25" s="1"/>
  <c r="O163" i="25"/>
  <c r="AA163" i="25" s="1"/>
  <c r="O179" i="25"/>
  <c r="AA179" i="25" s="1"/>
  <c r="O368" i="25"/>
  <c r="AA368" i="25" s="1"/>
  <c r="O245" i="25"/>
  <c r="AA245" i="25" s="1"/>
  <c r="O255" i="25"/>
  <c r="AA255" i="25" s="1"/>
  <c r="O308" i="25"/>
  <c r="AA308" i="25" s="1"/>
  <c r="O388" i="25"/>
  <c r="AA388" i="25" s="1"/>
  <c r="O380" i="25"/>
  <c r="AA380" i="25" s="1"/>
  <c r="O440" i="25"/>
  <c r="AA440" i="25" s="1"/>
  <c r="O452" i="25"/>
  <c r="AA452" i="25" s="1"/>
  <c r="O475" i="25"/>
  <c r="AA475" i="25" s="1"/>
  <c r="O507" i="25"/>
  <c r="AA507" i="25" s="1"/>
  <c r="O514" i="25"/>
  <c r="AA514" i="25" s="1"/>
  <c r="O547" i="25"/>
  <c r="AA547" i="25" s="1"/>
  <c r="O604" i="25"/>
  <c r="AA604" i="25" s="1"/>
  <c r="O588" i="25"/>
  <c r="AA588" i="25" s="1"/>
  <c r="O613" i="25"/>
  <c r="AA613" i="25" s="1"/>
  <c r="O612" i="25"/>
  <c r="AA612" i="25" s="1"/>
  <c r="O592" i="25"/>
  <c r="AA592" i="25" s="1"/>
  <c r="O587" i="25"/>
  <c r="AA587" i="25" s="1"/>
  <c r="O597" i="25"/>
  <c r="AA597" i="25" s="1"/>
  <c r="O581" i="25"/>
  <c r="AA581" i="25" s="1"/>
  <c r="O561" i="25"/>
  <c r="AA561" i="25" s="1"/>
  <c r="O563" i="25"/>
  <c r="AA563" i="25" s="1"/>
  <c r="O544" i="25"/>
  <c r="AA544" i="25" s="1"/>
  <c r="O546" i="25"/>
  <c r="AA546" i="25" s="1"/>
  <c r="O567" i="25"/>
  <c r="AA567" i="25" s="1"/>
  <c r="O534" i="25"/>
  <c r="AA534" i="25" s="1"/>
  <c r="O511" i="25"/>
  <c r="AA511" i="25" s="1"/>
  <c r="O521" i="25"/>
  <c r="AA521" i="25" s="1"/>
  <c r="O488" i="25"/>
  <c r="AA488" i="25" s="1"/>
  <c r="O498" i="25"/>
  <c r="AA498" i="25" s="1"/>
  <c r="O466" i="25"/>
  <c r="AA466" i="25" s="1"/>
  <c r="O494" i="25"/>
  <c r="AA494" i="25" s="1"/>
  <c r="O470" i="25"/>
  <c r="AA470" i="25" s="1"/>
  <c r="O457" i="25"/>
  <c r="AA457" i="25" s="1"/>
  <c r="O449" i="25"/>
  <c r="AA449" i="25" s="1"/>
  <c r="O441" i="25"/>
  <c r="AA441" i="25" s="1"/>
  <c r="O433" i="25"/>
  <c r="AA433" i="25" s="1"/>
  <c r="O472" i="25"/>
  <c r="AA472" i="25" s="1"/>
  <c r="O414" i="25"/>
  <c r="AA414" i="25" s="1"/>
  <c r="O464" i="25"/>
  <c r="AA464" i="25" s="1"/>
  <c r="O412" i="25"/>
  <c r="AA412" i="25" s="1"/>
  <c r="O492" i="25"/>
  <c r="AA492" i="25" s="1"/>
  <c r="O408" i="25"/>
  <c r="AA408" i="25" s="1"/>
  <c r="O395" i="25"/>
  <c r="AA395" i="25" s="1"/>
  <c r="O410" i="25"/>
  <c r="AA410" i="25" s="1"/>
  <c r="O385" i="25"/>
  <c r="AA385" i="25" s="1"/>
  <c r="O371" i="25"/>
  <c r="AA371" i="25" s="1"/>
  <c r="O427" i="25"/>
  <c r="AA427" i="25" s="1"/>
  <c r="O403" i="25"/>
  <c r="AA403" i="25" s="1"/>
  <c r="O353" i="25"/>
  <c r="AA353" i="25" s="1"/>
  <c r="O337" i="25"/>
  <c r="AA337" i="25" s="1"/>
  <c r="O321" i="25"/>
  <c r="AA321" i="25" s="1"/>
  <c r="O305" i="25"/>
  <c r="AA305" i="25" s="1"/>
  <c r="O289" i="25"/>
  <c r="AA289" i="25" s="1"/>
  <c r="O343" i="25"/>
  <c r="AA343" i="25" s="1"/>
  <c r="O320" i="25"/>
  <c r="AA320" i="25" s="1"/>
  <c r="O304" i="25"/>
  <c r="AA304" i="25" s="1"/>
  <c r="O288" i="25"/>
  <c r="AA288" i="25" s="1"/>
  <c r="O278" i="25"/>
  <c r="AA278" i="25" s="1"/>
  <c r="O270" i="25"/>
  <c r="AA270" i="25" s="1"/>
  <c r="O339" i="25"/>
  <c r="AA339" i="25" s="1"/>
  <c r="O307" i="25"/>
  <c r="AA307" i="25" s="1"/>
  <c r="O351" i="25"/>
  <c r="AA351" i="25" s="1"/>
  <c r="O285" i="25"/>
  <c r="AA285" i="25" s="1"/>
  <c r="O234" i="25"/>
  <c r="AA234" i="25" s="1"/>
  <c r="O375" i="25"/>
  <c r="AA375" i="25" s="1"/>
  <c r="O310" i="25"/>
  <c r="AA310" i="25" s="1"/>
  <c r="O240" i="25"/>
  <c r="AA240" i="25" s="1"/>
  <c r="O347" i="25"/>
  <c r="AA347" i="25" s="1"/>
  <c r="O252" i="25"/>
  <c r="AA252" i="25" s="1"/>
  <c r="O302" i="25"/>
  <c r="AA302" i="25" s="1"/>
  <c r="O119" i="25"/>
  <c r="AA119" i="25" s="1"/>
  <c r="O103" i="25"/>
  <c r="AA103" i="25" s="1"/>
  <c r="O87" i="25"/>
  <c r="AA87" i="25" s="1"/>
  <c r="O71" i="25"/>
  <c r="AA71" i="25" s="1"/>
  <c r="O55" i="25"/>
  <c r="AA55" i="25" s="1"/>
  <c r="O333" i="25"/>
  <c r="AA333" i="25" s="1"/>
  <c r="O208" i="25"/>
  <c r="AA208" i="25" s="1"/>
  <c r="O192" i="25"/>
  <c r="AA192" i="25" s="1"/>
  <c r="O176" i="25"/>
  <c r="AA176" i="25" s="1"/>
  <c r="O160" i="25"/>
  <c r="AA160" i="25" s="1"/>
  <c r="O144" i="25"/>
  <c r="AA144" i="25" s="1"/>
  <c r="O128" i="25"/>
  <c r="AA128" i="25" s="1"/>
  <c r="O109" i="25"/>
  <c r="AA109" i="25" s="1"/>
  <c r="O77" i="25"/>
  <c r="AA77" i="25" s="1"/>
  <c r="O46" i="25"/>
  <c r="AA46" i="25" s="1"/>
  <c r="O222" i="25"/>
  <c r="AA222" i="25" s="1"/>
  <c r="O206" i="25"/>
  <c r="AA206" i="25" s="1"/>
  <c r="O190" i="25"/>
  <c r="AA190" i="25" s="1"/>
  <c r="O174" i="25"/>
  <c r="AA174" i="25" s="1"/>
  <c r="O158" i="25"/>
  <c r="AA158" i="25" s="1"/>
  <c r="O142" i="25"/>
  <c r="AA142" i="25" s="1"/>
  <c r="O126" i="25"/>
  <c r="AA126" i="25" s="1"/>
  <c r="O97" i="25"/>
  <c r="AA97" i="25" s="1"/>
  <c r="O65" i="25"/>
  <c r="AA65" i="25" s="1"/>
  <c r="O33" i="25"/>
  <c r="AA33" i="25" s="1"/>
  <c r="O68" i="25"/>
  <c r="AA68" i="25" s="1"/>
  <c r="O21" i="25"/>
  <c r="AA21" i="25" s="1"/>
  <c r="O30" i="25"/>
  <c r="AA30" i="25" s="1"/>
  <c r="O20" i="25"/>
  <c r="AA20" i="25" s="1"/>
  <c r="O51" i="25"/>
  <c r="AA51" i="25" s="1"/>
  <c r="O76" i="25"/>
  <c r="AA76" i="25" s="1"/>
  <c r="O14" i="25"/>
  <c r="AA14" i="25" s="1"/>
  <c r="O83" i="25"/>
  <c r="AA83" i="25" s="1"/>
  <c r="O209" i="25"/>
  <c r="AA209" i="25" s="1"/>
  <c r="O75" i="25"/>
  <c r="AA75" i="25" s="1"/>
  <c r="O70" i="25"/>
  <c r="AA70" i="25" s="1"/>
  <c r="O118" i="25"/>
  <c r="AA118" i="25" s="1"/>
  <c r="O24" i="25"/>
  <c r="AA24" i="25" s="1"/>
  <c r="O141" i="25"/>
  <c r="AA141" i="25" s="1"/>
  <c r="O50" i="25"/>
  <c r="AA50" i="25" s="1"/>
  <c r="O161" i="25"/>
  <c r="AA161" i="25" s="1"/>
  <c r="O37" i="25"/>
  <c r="AA37" i="25" s="1"/>
  <c r="O197" i="25"/>
  <c r="AA197" i="25" s="1"/>
  <c r="O98" i="25"/>
  <c r="AA98" i="25" s="1"/>
  <c r="O591" i="25"/>
  <c r="AA591" i="25" s="1"/>
  <c r="O557" i="25"/>
  <c r="AA557" i="25" s="1"/>
  <c r="O550" i="25"/>
  <c r="AA550" i="25" s="1"/>
  <c r="O504" i="25"/>
  <c r="AA504" i="25" s="1"/>
  <c r="O484" i="25"/>
  <c r="AA484" i="25" s="1"/>
  <c r="O453" i="25"/>
  <c r="AA453" i="25" s="1"/>
  <c r="O429" i="25"/>
  <c r="AA429" i="25" s="1"/>
  <c r="O404" i="25"/>
  <c r="AA404" i="25" s="1"/>
  <c r="O379" i="25"/>
  <c r="AA379" i="25" s="1"/>
  <c r="O389" i="25"/>
  <c r="AA389" i="25" s="1"/>
  <c r="O329" i="25"/>
  <c r="AA329" i="25" s="1"/>
  <c r="O281" i="25"/>
  <c r="AA281" i="25" s="1"/>
  <c r="O280" i="25"/>
  <c r="AA280" i="25" s="1"/>
  <c r="O317" i="25"/>
  <c r="AA317" i="25" s="1"/>
  <c r="O256" i="25"/>
  <c r="AA256" i="25" s="1"/>
  <c r="O236" i="25"/>
  <c r="AA236" i="25" s="1"/>
  <c r="O95" i="25"/>
  <c r="AA95" i="25" s="1"/>
  <c r="O39" i="25"/>
  <c r="AA39" i="25" s="1"/>
  <c r="O184" i="25"/>
  <c r="AA184" i="25" s="1"/>
  <c r="O120" i="25"/>
  <c r="AA120" i="25" s="1"/>
  <c r="O334" i="25"/>
  <c r="AA334" i="25" s="1"/>
  <c r="O182" i="25"/>
  <c r="AA182" i="25" s="1"/>
  <c r="O38" i="25"/>
  <c r="AA38" i="25" s="1"/>
  <c r="O301" i="25"/>
  <c r="AA301" i="25" s="1"/>
  <c r="O26" i="25"/>
  <c r="AA26" i="25" s="1"/>
  <c r="O31" i="25"/>
  <c r="AA31" i="25" s="1"/>
  <c r="O610" i="25"/>
  <c r="AA610" i="25" s="1"/>
  <c r="O601" i="25"/>
  <c r="AA601" i="25" s="1"/>
  <c r="O585" i="25"/>
  <c r="AA585" i="25" s="1"/>
  <c r="O594" i="25"/>
  <c r="AA594" i="25" s="1"/>
  <c r="O596" i="25"/>
  <c r="AA596" i="25" s="1"/>
  <c r="O573" i="25"/>
  <c r="AA573" i="25" s="1"/>
  <c r="O579" i="25"/>
  <c r="AA579" i="25" s="1"/>
  <c r="O532" i="25"/>
  <c r="AA532" i="25" s="1"/>
  <c r="O538" i="25"/>
  <c r="AA538" i="25" s="1"/>
  <c r="O565" i="25"/>
  <c r="AA565" i="25" s="1"/>
  <c r="O526" i="25"/>
  <c r="AA526" i="25" s="1"/>
  <c r="O517" i="25"/>
  <c r="AA517" i="25" s="1"/>
  <c r="O513" i="25"/>
  <c r="AA513" i="25" s="1"/>
  <c r="O476" i="25"/>
  <c r="AA476" i="25" s="1"/>
  <c r="O490" i="25"/>
  <c r="AA490" i="25" s="1"/>
  <c r="O540" i="25"/>
  <c r="AA540" i="25" s="1"/>
  <c r="O486" i="25"/>
  <c r="AA486" i="25" s="1"/>
  <c r="O463" i="25"/>
  <c r="AA463" i="25" s="1"/>
  <c r="O455" i="25"/>
  <c r="AA455" i="25" s="1"/>
  <c r="O447" i="25"/>
  <c r="AA447" i="25" s="1"/>
  <c r="O439" i="25"/>
  <c r="AA439" i="25" s="1"/>
  <c r="O431" i="25"/>
  <c r="AA431" i="25" s="1"/>
  <c r="O423" i="25"/>
  <c r="AA423" i="25" s="1"/>
  <c r="O407" i="25"/>
  <c r="AA407" i="25" s="1"/>
  <c r="O421" i="25"/>
  <c r="AA421" i="25" s="1"/>
  <c r="O405" i="25"/>
  <c r="AA405" i="25" s="1"/>
  <c r="O480" i="25"/>
  <c r="AA480" i="25" s="1"/>
  <c r="O400" i="25"/>
  <c r="AA400" i="25" s="1"/>
  <c r="O387" i="25"/>
  <c r="AA387" i="25" s="1"/>
  <c r="O394" i="25"/>
  <c r="AA394" i="25" s="1"/>
  <c r="O378" i="25"/>
  <c r="AA378" i="25" s="1"/>
  <c r="O369" i="25"/>
  <c r="AA369" i="25" s="1"/>
  <c r="O397" i="25"/>
  <c r="AA397" i="25" s="1"/>
  <c r="O392" i="25"/>
  <c r="AA392" i="25" s="1"/>
  <c r="O349" i="25"/>
  <c r="AA349" i="25" s="1"/>
  <c r="O330" i="25"/>
  <c r="AA330" i="25" s="1"/>
  <c r="O314" i="25"/>
  <c r="AA314" i="25" s="1"/>
  <c r="O298" i="25"/>
  <c r="AA298" i="25" s="1"/>
  <c r="O282" i="25"/>
  <c r="AA282" i="25" s="1"/>
  <c r="O336" i="25"/>
  <c r="AA336" i="25" s="1"/>
  <c r="O319" i="25"/>
  <c r="AA319" i="25" s="1"/>
  <c r="O303" i="25"/>
  <c r="AA303" i="25" s="1"/>
  <c r="O287" i="25"/>
  <c r="AA287" i="25" s="1"/>
  <c r="O276" i="25"/>
  <c r="AA276" i="25" s="1"/>
  <c r="O268" i="25"/>
  <c r="AA268" i="25" s="1"/>
  <c r="O331" i="25"/>
  <c r="AA331" i="25" s="1"/>
  <c r="O299" i="25"/>
  <c r="AA299" i="25" s="1"/>
  <c r="O318" i="25"/>
  <c r="AA318" i="25" s="1"/>
  <c r="O258" i="25"/>
  <c r="AA258" i="25" s="1"/>
  <c r="O226" i="25"/>
  <c r="AA226" i="25" s="1"/>
  <c r="O355" i="25"/>
  <c r="AA355" i="25" s="1"/>
  <c r="O309" i="25"/>
  <c r="AA309" i="25" s="1"/>
  <c r="O232" i="25"/>
  <c r="AA232" i="25" s="1"/>
  <c r="O326" i="25"/>
  <c r="AA326" i="25" s="1"/>
  <c r="O244" i="25"/>
  <c r="AA244" i="25" s="1"/>
  <c r="O262" i="25"/>
  <c r="AA262" i="25" s="1"/>
  <c r="O112" i="25"/>
  <c r="AA112" i="25" s="1"/>
  <c r="O96" i="25"/>
  <c r="AA96" i="25" s="1"/>
  <c r="O80" i="25"/>
  <c r="AA80" i="25" s="1"/>
  <c r="O64" i="25"/>
  <c r="AA64" i="25" s="1"/>
  <c r="O47" i="25"/>
  <c r="AA47" i="25" s="1"/>
  <c r="O254" i="25"/>
  <c r="AA254" i="25" s="1"/>
  <c r="O204" i="25"/>
  <c r="AA204" i="25" s="1"/>
  <c r="O188" i="25"/>
  <c r="AA188" i="25" s="1"/>
  <c r="O172" i="25"/>
  <c r="AA172" i="25" s="1"/>
  <c r="O156" i="25"/>
  <c r="AA156" i="25" s="1"/>
  <c r="O140" i="25"/>
  <c r="AA140" i="25" s="1"/>
  <c r="O124" i="25"/>
  <c r="AA124" i="25" s="1"/>
  <c r="O101" i="25"/>
  <c r="AA101" i="25" s="1"/>
  <c r="O69" i="25"/>
  <c r="AA69" i="25" s="1"/>
  <c r="O45" i="25"/>
  <c r="AA45" i="25" s="1"/>
  <c r="O218" i="25"/>
  <c r="AA218" i="25" s="1"/>
  <c r="O202" i="25"/>
  <c r="AA202" i="25" s="1"/>
  <c r="O186" i="25"/>
  <c r="AA186" i="25" s="1"/>
  <c r="O170" i="25"/>
  <c r="AA170" i="25" s="1"/>
  <c r="O154" i="25"/>
  <c r="AA154" i="25" s="1"/>
  <c r="O138" i="25"/>
  <c r="AA138" i="25" s="1"/>
  <c r="O122" i="25"/>
  <c r="AA122" i="25" s="1"/>
  <c r="O89" i="25"/>
  <c r="AA89" i="25" s="1"/>
  <c r="O57" i="25"/>
  <c r="AA57" i="25" s="1"/>
  <c r="O48" i="25"/>
  <c r="AA48" i="25" s="1"/>
  <c r="O67" i="25"/>
  <c r="AA67" i="25" s="1"/>
  <c r="O359" i="25"/>
  <c r="AA359" i="25" s="1"/>
  <c r="O92" i="25"/>
  <c r="AA92" i="25" s="1"/>
  <c r="O19" i="25"/>
  <c r="AA19" i="25" s="1"/>
  <c r="O36" i="25"/>
  <c r="AA36" i="25" s="1"/>
  <c r="O44" i="25"/>
  <c r="AA44" i="25" s="1"/>
  <c r="O13" i="25"/>
  <c r="AA13" i="25" s="1"/>
  <c r="O29" i="25"/>
  <c r="AA29" i="25" s="1"/>
  <c r="O145" i="25"/>
  <c r="AA145" i="25" s="1"/>
  <c r="O35" i="25"/>
  <c r="AA35" i="25" s="1"/>
  <c r="O603" i="25"/>
  <c r="AA603" i="25" s="1"/>
  <c r="O548" i="25"/>
  <c r="AA548" i="25" s="1"/>
  <c r="O482" i="25"/>
  <c r="AA482" i="25" s="1"/>
  <c r="O445" i="25"/>
  <c r="AA445" i="25" s="1"/>
  <c r="O406" i="25"/>
  <c r="AA406" i="25" s="1"/>
  <c r="O424" i="25"/>
  <c r="AA424" i="25" s="1"/>
  <c r="O377" i="25"/>
  <c r="AA377" i="25" s="1"/>
  <c r="O361" i="25"/>
  <c r="AA361" i="25" s="1"/>
  <c r="O313" i="25"/>
  <c r="AA313" i="25" s="1"/>
  <c r="O335" i="25"/>
  <c r="AA335" i="25" s="1"/>
  <c r="O274" i="25"/>
  <c r="AA274" i="25" s="1"/>
  <c r="O291" i="25"/>
  <c r="AA291" i="25" s="1"/>
  <c r="O342" i="25"/>
  <c r="AA342" i="25" s="1"/>
  <c r="O294" i="25"/>
  <c r="AA294" i="25" s="1"/>
  <c r="O111" i="25"/>
  <c r="AA111" i="25" s="1"/>
  <c r="O216" i="25"/>
  <c r="AA216" i="25" s="1"/>
  <c r="O168" i="25"/>
  <c r="AA168" i="25" s="1"/>
  <c r="O93" i="25"/>
  <c r="AA93" i="25" s="1"/>
  <c r="O214" i="25"/>
  <c r="AA214" i="25" s="1"/>
  <c r="O150" i="25"/>
  <c r="AA150" i="25" s="1"/>
  <c r="O81" i="25"/>
  <c r="AA81" i="25" s="1"/>
  <c r="O246" i="25"/>
  <c r="AA246" i="25" s="1"/>
  <c r="O220" i="25"/>
  <c r="AA220" i="25" s="1"/>
  <c r="O86" i="25"/>
  <c r="AA86" i="25" s="1"/>
  <c r="O107" i="25"/>
  <c r="AA107" i="25" s="1"/>
  <c r="O133" i="25"/>
  <c r="AA133" i="25" s="1"/>
  <c r="O593" i="25"/>
  <c r="AA593" i="25" s="1"/>
  <c r="O589" i="25"/>
  <c r="AA589" i="25" s="1"/>
  <c r="O605" i="25"/>
  <c r="AA605" i="25" s="1"/>
  <c r="O583" i="25"/>
  <c r="AA583" i="25" s="1"/>
  <c r="O571" i="25"/>
  <c r="AA571" i="25" s="1"/>
  <c r="O569" i="25"/>
  <c r="AA569" i="25" s="1"/>
  <c r="O552" i="25"/>
  <c r="AA552" i="25" s="1"/>
  <c r="O554" i="25"/>
  <c r="AA554" i="25" s="1"/>
  <c r="O523" i="25"/>
  <c r="AA523" i="25" s="1"/>
  <c r="O542" i="25"/>
  <c r="AA542" i="25" s="1"/>
  <c r="O519" i="25"/>
  <c r="AA519" i="25" s="1"/>
  <c r="O528" i="25"/>
  <c r="AA528" i="25" s="1"/>
  <c r="O496" i="25"/>
  <c r="AA496" i="25" s="1"/>
  <c r="O506" i="25"/>
  <c r="AA506" i="25" s="1"/>
  <c r="O474" i="25"/>
  <c r="AA474" i="25" s="1"/>
  <c r="O502" i="25"/>
  <c r="AA502" i="25" s="1"/>
  <c r="O478" i="25"/>
  <c r="AA478" i="25" s="1"/>
  <c r="O459" i="25"/>
  <c r="AA459" i="25" s="1"/>
  <c r="O451" i="25"/>
  <c r="AA451" i="25" s="1"/>
  <c r="O443" i="25"/>
  <c r="AA443" i="25" s="1"/>
  <c r="O435" i="25"/>
  <c r="AA435" i="25" s="1"/>
  <c r="O500" i="25"/>
  <c r="AA500" i="25" s="1"/>
  <c r="O415" i="25"/>
  <c r="AA415" i="25" s="1"/>
  <c r="O508" i="25"/>
  <c r="AA508" i="25" s="1"/>
  <c r="O413" i="25"/>
  <c r="AA413" i="25" s="1"/>
  <c r="O536" i="25"/>
  <c r="AA536" i="25" s="1"/>
  <c r="O416" i="25"/>
  <c r="AA416" i="25" s="1"/>
  <c r="O419" i="25"/>
  <c r="AA419" i="25" s="1"/>
  <c r="O411" i="25"/>
  <c r="AA411" i="25" s="1"/>
  <c r="O386" i="25"/>
  <c r="AA386" i="25" s="1"/>
  <c r="O373" i="25"/>
  <c r="AA373" i="25" s="1"/>
  <c r="O365" i="25"/>
  <c r="AA365" i="25" s="1"/>
  <c r="O381" i="25"/>
  <c r="AA381" i="25" s="1"/>
  <c r="O357" i="25"/>
  <c r="AA357" i="25" s="1"/>
  <c r="O338" i="25"/>
  <c r="AA338" i="25" s="1"/>
  <c r="O322" i="25"/>
  <c r="AA322" i="25" s="1"/>
  <c r="O306" i="25"/>
  <c r="AA306" i="25" s="1"/>
  <c r="O290" i="25"/>
  <c r="AA290" i="25" s="1"/>
  <c r="O384" i="25"/>
  <c r="AA384" i="25" s="1"/>
  <c r="O327" i="25"/>
  <c r="AA327" i="25" s="1"/>
  <c r="O311" i="25"/>
  <c r="AA311" i="25" s="1"/>
  <c r="O295" i="25"/>
  <c r="AA295" i="25" s="1"/>
  <c r="O279" i="25"/>
  <c r="AA279" i="25" s="1"/>
  <c r="O272" i="25"/>
  <c r="AA272" i="25" s="1"/>
  <c r="O264" i="25"/>
  <c r="AA264" i="25" s="1"/>
  <c r="O315" i="25"/>
  <c r="AA315" i="25" s="1"/>
  <c r="O283" i="25"/>
  <c r="AA283" i="25" s="1"/>
  <c r="O286" i="25"/>
  <c r="AA286" i="25" s="1"/>
  <c r="O242" i="25"/>
  <c r="AA242" i="25" s="1"/>
  <c r="O402" i="25"/>
  <c r="AA402" i="25" s="1"/>
  <c r="O341" i="25"/>
  <c r="AA341" i="25" s="1"/>
  <c r="O248" i="25"/>
  <c r="AA248" i="25" s="1"/>
  <c r="O363" i="25"/>
  <c r="AA363" i="25" s="1"/>
  <c r="O260" i="25"/>
  <c r="AA260" i="25" s="1"/>
  <c r="O228" i="25"/>
  <c r="AA228" i="25" s="1"/>
  <c r="O224" i="25"/>
  <c r="AA224" i="25" s="1"/>
  <c r="O104" i="25"/>
  <c r="AA104" i="25" s="1"/>
  <c r="O88" i="25"/>
  <c r="AA88" i="25" s="1"/>
  <c r="O72" i="25"/>
  <c r="AA72" i="25" s="1"/>
  <c r="O56" i="25"/>
  <c r="AA56" i="25" s="1"/>
  <c r="O32" i="25"/>
  <c r="AA32" i="25" s="1"/>
  <c r="O212" i="25"/>
  <c r="AA212" i="25" s="1"/>
  <c r="O196" i="25"/>
  <c r="AA196" i="25" s="1"/>
  <c r="O180" i="25"/>
  <c r="AA180" i="25" s="1"/>
  <c r="O164" i="25"/>
  <c r="AA164" i="25" s="1"/>
  <c r="O148" i="25"/>
  <c r="AA148" i="25" s="1"/>
  <c r="O132" i="25"/>
  <c r="AA132" i="25" s="1"/>
  <c r="O117" i="25"/>
  <c r="AA117" i="25" s="1"/>
  <c r="O85" i="25"/>
  <c r="AA85" i="25" s="1"/>
  <c r="O53" i="25"/>
  <c r="AA53" i="25" s="1"/>
  <c r="O238" i="25"/>
  <c r="AA238" i="25" s="1"/>
  <c r="O210" i="25"/>
  <c r="AA210" i="25" s="1"/>
  <c r="O194" i="25"/>
  <c r="AA194" i="25" s="1"/>
  <c r="O178" i="25"/>
  <c r="AA178" i="25" s="1"/>
  <c r="O162" i="25"/>
  <c r="AA162" i="25" s="1"/>
  <c r="O146" i="25"/>
  <c r="AA146" i="25" s="1"/>
  <c r="O130" i="25"/>
  <c r="AA130" i="25" s="1"/>
  <c r="O105" i="25"/>
  <c r="AA105" i="25" s="1"/>
  <c r="O73" i="25"/>
  <c r="AA73" i="25" s="1"/>
  <c r="O41" i="25"/>
  <c r="AA41" i="25" s="1"/>
  <c r="O100" i="25"/>
  <c r="AA100" i="25" s="1"/>
  <c r="O22" i="25"/>
  <c r="AA22" i="25" s="1"/>
  <c r="O115" i="25"/>
  <c r="AA115" i="25" s="1"/>
  <c r="O60" i="25"/>
  <c r="AA60" i="25" s="1"/>
  <c r="O52" i="25"/>
  <c r="AA52" i="25" s="1"/>
  <c r="O108" i="25"/>
  <c r="AA108" i="25" s="1"/>
  <c r="O15" i="25"/>
  <c r="AA15" i="25" s="1"/>
  <c r="O84" i="25"/>
  <c r="AA84" i="25" s="1"/>
  <c r="O18" i="25"/>
  <c r="AA18" i="25" s="1"/>
  <c r="O62" i="25"/>
  <c r="AA62" i="25" s="1"/>
  <c r="O121" i="25"/>
  <c r="AA121" i="25" s="1"/>
  <c r="O177" i="25"/>
  <c r="AA177" i="25" s="1"/>
  <c r="O43" i="25"/>
  <c r="AA43" i="25" s="1"/>
  <c r="O58" i="25"/>
  <c r="AA58" i="25" s="1"/>
  <c r="O114" i="25"/>
  <c r="AA114" i="25" s="1"/>
  <c r="O383" i="25"/>
  <c r="AA383" i="25" s="1"/>
  <c r="O99" i="25"/>
  <c r="AA99" i="25" s="1"/>
  <c r="O157" i="25"/>
  <c r="AA157" i="25" s="1"/>
  <c r="O54" i="25"/>
  <c r="AA54" i="25" s="1"/>
  <c r="O221" i="25"/>
  <c r="AA221" i="25" s="1"/>
  <c r="O106" i="25"/>
  <c r="AA106" i="25" s="1"/>
  <c r="O16" i="25"/>
  <c r="AA16" i="25" s="1"/>
  <c r="O599" i="25"/>
  <c r="AA599" i="25" s="1"/>
  <c r="O608" i="25"/>
  <c r="AA608" i="25" s="1"/>
  <c r="O577" i="25"/>
  <c r="AA577" i="25" s="1"/>
  <c r="O559" i="25"/>
  <c r="AA559" i="25" s="1"/>
  <c r="O575" i="25"/>
  <c r="AA575" i="25" s="1"/>
  <c r="O530" i="25"/>
  <c r="AA530" i="25" s="1"/>
  <c r="O556" i="25"/>
  <c r="AA556" i="25" s="1"/>
  <c r="O468" i="25"/>
  <c r="AA468" i="25" s="1"/>
  <c r="O510" i="25"/>
  <c r="AA510" i="25" s="1"/>
  <c r="O461" i="25"/>
  <c r="AA461" i="25" s="1"/>
  <c r="O437" i="25"/>
  <c r="AA437" i="25" s="1"/>
  <c r="O422" i="25"/>
  <c r="AA422" i="25" s="1"/>
  <c r="O420" i="25"/>
  <c r="AA420" i="25" s="1"/>
  <c r="O515" i="25"/>
  <c r="AA515" i="25" s="1"/>
  <c r="O393" i="25"/>
  <c r="AA393" i="25" s="1"/>
  <c r="O367" i="25"/>
  <c r="AA367" i="25" s="1"/>
  <c r="O345" i="25"/>
  <c r="AA345" i="25" s="1"/>
  <c r="O297" i="25"/>
  <c r="AA297" i="25" s="1"/>
  <c r="O312" i="25"/>
  <c r="AA312" i="25" s="1"/>
  <c r="O296" i="25"/>
  <c r="AA296" i="25" s="1"/>
  <c r="O266" i="25"/>
  <c r="AA266" i="25" s="1"/>
  <c r="O323" i="25"/>
  <c r="AA323" i="25" s="1"/>
  <c r="O250" i="25"/>
  <c r="AA250" i="25" s="1"/>
  <c r="O225" i="25"/>
  <c r="AA225" i="25" s="1"/>
  <c r="O376" i="25"/>
  <c r="AA376" i="25" s="1"/>
  <c r="O230" i="25"/>
  <c r="AA230" i="25" s="1"/>
  <c r="O79" i="25"/>
  <c r="AA79" i="25" s="1"/>
  <c r="O63" i="25"/>
  <c r="AA63" i="25" s="1"/>
  <c r="O200" i="25"/>
  <c r="AA200" i="25" s="1"/>
  <c r="O152" i="25"/>
  <c r="AA152" i="25" s="1"/>
  <c r="O136" i="25"/>
  <c r="AA136" i="25" s="1"/>
  <c r="O61" i="25"/>
  <c r="AA61" i="25" s="1"/>
  <c r="O198" i="25"/>
  <c r="AA198" i="25" s="1"/>
  <c r="O166" i="25"/>
  <c r="AA166" i="25" s="1"/>
  <c r="O134" i="25"/>
  <c r="AA134" i="25" s="1"/>
  <c r="O113" i="25"/>
  <c r="AA113" i="25" s="1"/>
  <c r="O49" i="25"/>
  <c r="AA49" i="25" s="1"/>
  <c r="O40" i="25"/>
  <c r="AA40" i="25" s="1"/>
  <c r="O91" i="25"/>
  <c r="AA91" i="25" s="1"/>
  <c r="O23" i="25"/>
  <c r="AA23" i="25" s="1"/>
  <c r="O116" i="25"/>
  <c r="AA116" i="25" s="1"/>
  <c r="O185" i="25"/>
  <c r="AA185" i="25" s="1"/>
  <c r="O42" i="25"/>
  <c r="AA42" i="25" s="1"/>
  <c r="O169" i="25"/>
  <c r="AA169" i="25" s="1"/>
  <c r="O27" i="25"/>
  <c r="AA27" i="25" s="1"/>
  <c r="AA628" i="25"/>
  <c r="AB128" i="25"/>
  <c r="AB628" i="25"/>
  <c r="C622" i="25"/>
  <c r="F622" i="25"/>
  <c r="D622" i="25"/>
  <c r="E622" i="25"/>
  <c r="BA10" i="21"/>
  <c r="AZ59" i="23"/>
  <c r="H2" i="23"/>
  <c r="B36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6" i="8"/>
  <c r="B373" i="2" s="1"/>
  <c r="AA622" i="25" l="1"/>
  <c r="E632" i="25" s="1"/>
  <c r="AB622" i="25"/>
  <c r="B369" i="2"/>
  <c r="G622" i="17"/>
  <c r="H622" i="17"/>
  <c r="F622" i="17"/>
  <c r="E622" i="17"/>
  <c r="D622" i="17"/>
  <c r="C622" i="17"/>
  <c r="G4" i="8"/>
  <c r="O17" i="8" l="1"/>
  <c r="B168" i="2"/>
  <c r="B374" i="2"/>
  <c r="D383" i="2" l="1"/>
  <c r="B383" i="2"/>
  <c r="C50" i="16"/>
  <c r="D50" i="16" s="1"/>
  <c r="E54" i="1"/>
  <c r="B372" i="2"/>
  <c r="A372" i="2" l="1"/>
  <c r="D64" i="16" l="1"/>
  <c r="A628" i="17" l="1"/>
  <c r="O622" i="17"/>
  <c r="P623" i="17"/>
  <c r="P622" i="17"/>
  <c r="AB622" i="17" s="1"/>
  <c r="O626" i="17"/>
  <c r="AA626" i="17" s="1"/>
  <c r="O623" i="17"/>
  <c r="AA623" i="17" s="1"/>
  <c r="P626" i="17"/>
  <c r="AB626" i="17" s="1"/>
  <c r="P573" i="17"/>
  <c r="AB573" i="17" s="1"/>
  <c r="B70" i="1"/>
  <c r="N7" i="8"/>
  <c r="O7" i="8" s="1"/>
  <c r="G628" i="17" l="1"/>
  <c r="H628" i="17"/>
  <c r="AA622" i="17"/>
  <c r="E632" i="17" s="1"/>
  <c r="AB623" i="17"/>
  <c r="D628" i="17"/>
  <c r="F628" i="17"/>
  <c r="P628" i="17"/>
  <c r="C628" i="17"/>
  <c r="E628" i="17"/>
  <c r="O628" i="17"/>
  <c r="E636" i="17"/>
  <c r="N30" i="8"/>
  <c r="O30" i="8"/>
  <c r="C70" i="1" s="1"/>
  <c r="O74" i="17"/>
  <c r="AA74" i="17" s="1"/>
  <c r="O121" i="17"/>
  <c r="AA121" i="17" s="1"/>
  <c r="O106" i="17"/>
  <c r="AA106" i="17" s="1"/>
  <c r="O90" i="17"/>
  <c r="AA90" i="17" s="1"/>
  <c r="O17" i="17"/>
  <c r="AA17" i="17" s="1"/>
  <c r="O81" i="17"/>
  <c r="AA81" i="17" s="1"/>
  <c r="O101" i="17"/>
  <c r="AA101" i="17" s="1"/>
  <c r="O58" i="17"/>
  <c r="AA58" i="17" s="1"/>
  <c r="O42" i="17"/>
  <c r="AA42" i="17" s="1"/>
  <c r="O26" i="17"/>
  <c r="AA26" i="17" s="1"/>
  <c r="O49" i="17"/>
  <c r="AA49" i="17" s="1"/>
  <c r="O69" i="17"/>
  <c r="AA69" i="17" s="1"/>
  <c r="O236" i="17"/>
  <c r="AA236" i="17" s="1"/>
  <c r="O300" i="17"/>
  <c r="AA300" i="17" s="1"/>
  <c r="O217" i="17"/>
  <c r="AA217" i="17" s="1"/>
  <c r="O281" i="17"/>
  <c r="AA281" i="17" s="1"/>
  <c r="O140" i="17"/>
  <c r="AA140" i="17" s="1"/>
  <c r="O70" i="17"/>
  <c r="AA70" i="17" s="1"/>
  <c r="O41" i="17"/>
  <c r="AA41" i="17" s="1"/>
  <c r="O105" i="17"/>
  <c r="AA105" i="17" s="1"/>
  <c r="O45" i="17"/>
  <c r="AA45" i="17" s="1"/>
  <c r="O77" i="17"/>
  <c r="AA77" i="17" s="1"/>
  <c r="O173" i="17"/>
  <c r="AA173" i="17" s="1"/>
  <c r="O237" i="17"/>
  <c r="AA237" i="17" s="1"/>
  <c r="O301" i="17"/>
  <c r="AA301" i="17" s="1"/>
  <c r="O160" i="17"/>
  <c r="AA160" i="17" s="1"/>
  <c r="O338" i="17"/>
  <c r="AA338" i="17" s="1"/>
  <c r="O370" i="17"/>
  <c r="AA370" i="17" s="1"/>
  <c r="O402" i="17"/>
  <c r="AA402" i="17" s="1"/>
  <c r="O172" i="17"/>
  <c r="AA172" i="17" s="1"/>
  <c r="O204" i="17"/>
  <c r="AA204" i="17" s="1"/>
  <c r="O153" i="17"/>
  <c r="AA153" i="17" s="1"/>
  <c r="O38" i="17"/>
  <c r="AA38" i="17" s="1"/>
  <c r="O73" i="17"/>
  <c r="AA73" i="17" s="1"/>
  <c r="O141" i="17"/>
  <c r="AA141" i="17" s="1"/>
  <c r="O269" i="17"/>
  <c r="AA269" i="17" s="1"/>
  <c r="O319" i="17"/>
  <c r="AA319" i="17" s="1"/>
  <c r="O383" i="17"/>
  <c r="AA383" i="17" s="1"/>
  <c r="O180" i="17"/>
  <c r="AA180" i="17" s="1"/>
  <c r="O244" i="17"/>
  <c r="AA244" i="17" s="1"/>
  <c r="O308" i="17"/>
  <c r="AA308" i="17" s="1"/>
  <c r="O339" i="17"/>
  <c r="AA339" i="17" s="1"/>
  <c r="O403" i="17"/>
  <c r="AA403" i="17" s="1"/>
  <c r="O366" i="17"/>
  <c r="AA366" i="17" s="1"/>
  <c r="O169" i="17"/>
  <c r="AA169" i="17" s="1"/>
  <c r="O233" i="17"/>
  <c r="AA233" i="17" s="1"/>
  <c r="O132" i="17"/>
  <c r="AA132" i="17" s="1"/>
  <c r="O62" i="17"/>
  <c r="AA62" i="17" s="1"/>
  <c r="O232" i="17"/>
  <c r="AA232" i="17" s="1"/>
  <c r="O296" i="17"/>
  <c r="AA296" i="17" s="1"/>
  <c r="O322" i="17"/>
  <c r="AA322" i="17" s="1"/>
  <c r="O386" i="17"/>
  <c r="AA386" i="17" s="1"/>
  <c r="O438" i="17"/>
  <c r="AA438" i="17" s="1"/>
  <c r="O65" i="17"/>
  <c r="AA65" i="17" s="1"/>
  <c r="O85" i="17"/>
  <c r="AA85" i="17" s="1"/>
  <c r="O117" i="17"/>
  <c r="AA117" i="17" s="1"/>
  <c r="O149" i="17"/>
  <c r="AA149" i="17" s="1"/>
  <c r="O181" i="17"/>
  <c r="AA181" i="17" s="1"/>
  <c r="O213" i="17"/>
  <c r="AA213" i="17" s="1"/>
  <c r="O245" i="17"/>
  <c r="AA245" i="17" s="1"/>
  <c r="O277" i="17"/>
  <c r="AA277" i="17" s="1"/>
  <c r="O309" i="17"/>
  <c r="AA309" i="17" s="1"/>
  <c r="O136" i="17"/>
  <c r="AA136" i="17" s="1"/>
  <c r="O168" i="17"/>
  <c r="AA168" i="17" s="1"/>
  <c r="O184" i="17"/>
  <c r="AA184" i="17" s="1"/>
  <c r="O248" i="17"/>
  <c r="AA248" i="17" s="1"/>
  <c r="O312" i="17"/>
  <c r="AA312" i="17" s="1"/>
  <c r="O327" i="17"/>
  <c r="AA327" i="17" s="1"/>
  <c r="O359" i="17"/>
  <c r="AA359" i="17" s="1"/>
  <c r="O391" i="17"/>
  <c r="AA391" i="17" s="1"/>
  <c r="O407" i="17"/>
  <c r="AA407" i="17" s="1"/>
  <c r="O378" i="17"/>
  <c r="AA378" i="17" s="1"/>
  <c r="O188" i="17"/>
  <c r="AA188" i="17" s="1"/>
  <c r="O252" i="17"/>
  <c r="AA252" i="17" s="1"/>
  <c r="O331" i="17"/>
  <c r="AA331" i="17" s="1"/>
  <c r="O363" i="17"/>
  <c r="AA363" i="17" s="1"/>
  <c r="O395" i="17"/>
  <c r="AA395" i="17" s="1"/>
  <c r="O411" i="17"/>
  <c r="AA411" i="17" s="1"/>
  <c r="O326" i="17"/>
  <c r="AA326" i="17" s="1"/>
  <c r="O358" i="17"/>
  <c r="AA358" i="17" s="1"/>
  <c r="O390" i="17"/>
  <c r="AA390" i="17" s="1"/>
  <c r="O454" i="17"/>
  <c r="AA454" i="17" s="1"/>
  <c r="O249" i="17"/>
  <c r="AA249" i="17" s="1"/>
  <c r="O297" i="17"/>
  <c r="AA297" i="17" s="1"/>
  <c r="O22" i="17"/>
  <c r="AA22" i="17" s="1"/>
  <c r="O86" i="17"/>
  <c r="AA86" i="17" s="1"/>
  <c r="O192" i="17"/>
  <c r="AA192" i="17" s="1"/>
  <c r="O256" i="17"/>
  <c r="AA256" i="17" s="1"/>
  <c r="O415" i="17"/>
  <c r="AA415" i="17" s="1"/>
  <c r="O462" i="17"/>
  <c r="AA462" i="17" s="1"/>
  <c r="O57" i="17"/>
  <c r="AA57" i="17" s="1"/>
  <c r="O289" i="17"/>
  <c r="AA289" i="17" s="1"/>
  <c r="O14" i="17"/>
  <c r="AA14" i="17" s="1"/>
  <c r="O78" i="17"/>
  <c r="AA78" i="17" s="1"/>
  <c r="O93" i="17"/>
  <c r="AA93" i="17" s="1"/>
  <c r="O125" i="17"/>
  <c r="AA125" i="17" s="1"/>
  <c r="O189" i="17"/>
  <c r="AA189" i="17" s="1"/>
  <c r="O253" i="17"/>
  <c r="AA253" i="17" s="1"/>
  <c r="O112" i="17"/>
  <c r="AA112" i="17" s="1"/>
  <c r="O176" i="17"/>
  <c r="AA176" i="17" s="1"/>
  <c r="O208" i="17"/>
  <c r="AA208" i="17" s="1"/>
  <c r="O272" i="17"/>
  <c r="AA272" i="17" s="1"/>
  <c r="O367" i="17"/>
  <c r="AA367" i="17" s="1"/>
  <c r="O330" i="17"/>
  <c r="AA330" i="17" s="1"/>
  <c r="O394" i="17"/>
  <c r="AA394" i="17" s="1"/>
  <c r="O228" i="17"/>
  <c r="AA228" i="17" s="1"/>
  <c r="O292" i="17"/>
  <c r="AA292" i="17" s="1"/>
  <c r="O323" i="17"/>
  <c r="AA323" i="17" s="1"/>
  <c r="O387" i="17"/>
  <c r="AA387" i="17" s="1"/>
  <c r="O350" i="17"/>
  <c r="AA350" i="17" s="1"/>
  <c r="O414" i="17"/>
  <c r="AA414" i="17" s="1"/>
  <c r="O446" i="17"/>
  <c r="AA446" i="17" s="1"/>
  <c r="O423" i="17"/>
  <c r="AA423" i="17" s="1"/>
  <c r="O487" i="17"/>
  <c r="AA487" i="17" s="1"/>
  <c r="O519" i="17"/>
  <c r="AA519" i="17" s="1"/>
  <c r="O528" i="17"/>
  <c r="AA528" i="17" s="1"/>
  <c r="O560" i="17"/>
  <c r="AA560" i="17" s="1"/>
  <c r="O606" i="17"/>
  <c r="AA606" i="17" s="1"/>
  <c r="P17" i="17"/>
  <c r="AB17" i="17" s="1"/>
  <c r="P81" i="17"/>
  <c r="AB81" i="17" s="1"/>
  <c r="P16" i="17"/>
  <c r="AB16" i="17" s="1"/>
  <c r="P80" i="17"/>
  <c r="AB80" i="17" s="1"/>
  <c r="O32" i="17"/>
  <c r="AA32" i="17" s="1"/>
  <c r="O96" i="17"/>
  <c r="AA96" i="17" s="1"/>
  <c r="O31" i="17"/>
  <c r="AA31" i="17" s="1"/>
  <c r="O95" i="17"/>
  <c r="AA95" i="17" s="1"/>
  <c r="O127" i="17"/>
  <c r="AA127" i="17" s="1"/>
  <c r="O191" i="17"/>
  <c r="AA191" i="17" s="1"/>
  <c r="O255" i="17"/>
  <c r="AA255" i="17" s="1"/>
  <c r="O114" i="17"/>
  <c r="AA114" i="17" s="1"/>
  <c r="O178" i="17"/>
  <c r="AA178" i="17" s="1"/>
  <c r="O210" i="17"/>
  <c r="AA210" i="17" s="1"/>
  <c r="O274" i="17"/>
  <c r="AA274" i="17" s="1"/>
  <c r="O369" i="17"/>
  <c r="AA369" i="17" s="1"/>
  <c r="O332" i="17"/>
  <c r="AA332" i="17" s="1"/>
  <c r="O396" i="17"/>
  <c r="AA396" i="17" s="1"/>
  <c r="O428" i="17"/>
  <c r="AA428" i="17" s="1"/>
  <c r="O492" i="17"/>
  <c r="AA492" i="17" s="1"/>
  <c r="O453" i="17"/>
  <c r="AA453" i="17" s="1"/>
  <c r="O517" i="17"/>
  <c r="AA517" i="17" s="1"/>
  <c r="O558" i="17"/>
  <c r="AA558" i="17" s="1"/>
  <c r="O571" i="17"/>
  <c r="AA571" i="17" s="1"/>
  <c r="O268" i="17"/>
  <c r="AA268" i="17" s="1"/>
  <c r="O313" i="17"/>
  <c r="AA313" i="17" s="1"/>
  <c r="O102" i="17"/>
  <c r="AA102" i="17" s="1"/>
  <c r="O109" i="17"/>
  <c r="AA109" i="17" s="1"/>
  <c r="O205" i="17"/>
  <c r="AA205" i="17" s="1"/>
  <c r="O128" i="17"/>
  <c r="AA128" i="17" s="1"/>
  <c r="O351" i="17"/>
  <c r="AA351" i="17" s="1"/>
  <c r="O212" i="17"/>
  <c r="AA212" i="17" s="1"/>
  <c r="O276" i="17"/>
  <c r="AA276" i="17" s="1"/>
  <c r="O371" i="17"/>
  <c r="AA371" i="17" s="1"/>
  <c r="O334" i="17"/>
  <c r="AA334" i="17" s="1"/>
  <c r="O398" i="17"/>
  <c r="AA398" i="17" s="1"/>
  <c r="O137" i="17"/>
  <c r="AA137" i="17" s="1"/>
  <c r="O201" i="17"/>
  <c r="AA201" i="17" s="1"/>
  <c r="O265" i="17"/>
  <c r="AA265" i="17" s="1"/>
  <c r="O305" i="17"/>
  <c r="AA305" i="17" s="1"/>
  <c r="O30" i="17"/>
  <c r="AA30" i="17" s="1"/>
  <c r="O94" i="17"/>
  <c r="AA94" i="17" s="1"/>
  <c r="O200" i="17"/>
  <c r="AA200" i="17" s="1"/>
  <c r="O264" i="17"/>
  <c r="AA264" i="17" s="1"/>
  <c r="O354" i="17"/>
  <c r="AA354" i="17" s="1"/>
  <c r="O156" i="17"/>
  <c r="AA156" i="17" s="1"/>
  <c r="O470" i="17"/>
  <c r="AA470" i="17" s="1"/>
  <c r="O33" i="17"/>
  <c r="AA33" i="17" s="1"/>
  <c r="O97" i="17"/>
  <c r="AA97" i="17" s="1"/>
  <c r="O29" i="17"/>
  <c r="AA29" i="17" s="1"/>
  <c r="O53" i="17"/>
  <c r="AA53" i="17" s="1"/>
  <c r="O133" i="17"/>
  <c r="AA133" i="17" s="1"/>
  <c r="O165" i="17"/>
  <c r="AA165" i="17" s="1"/>
  <c r="O197" i="17"/>
  <c r="AA197" i="17" s="1"/>
  <c r="O229" i="17"/>
  <c r="AA229" i="17" s="1"/>
  <c r="O261" i="17"/>
  <c r="AA261" i="17" s="1"/>
  <c r="O293" i="17"/>
  <c r="AA293" i="17" s="1"/>
  <c r="O120" i="17"/>
  <c r="AA120" i="17" s="1"/>
  <c r="O152" i="17"/>
  <c r="AA152" i="17" s="1"/>
  <c r="O216" i="17"/>
  <c r="AA216" i="17" s="1"/>
  <c r="O280" i="17"/>
  <c r="AA280" i="17" s="1"/>
  <c r="O343" i="17"/>
  <c r="AA343" i="17" s="1"/>
  <c r="O375" i="17"/>
  <c r="AA375" i="17" s="1"/>
  <c r="O346" i="17"/>
  <c r="AA346" i="17" s="1"/>
  <c r="O148" i="17"/>
  <c r="AA148" i="17" s="1"/>
  <c r="O220" i="17"/>
  <c r="AA220" i="17" s="1"/>
  <c r="O284" i="17"/>
  <c r="AA284" i="17" s="1"/>
  <c r="O315" i="17"/>
  <c r="AA315" i="17" s="1"/>
  <c r="O347" i="17"/>
  <c r="AA347" i="17" s="1"/>
  <c r="O379" i="17"/>
  <c r="AA379" i="17" s="1"/>
  <c r="O342" i="17"/>
  <c r="AA342" i="17" s="1"/>
  <c r="O374" i="17"/>
  <c r="AA374" i="17" s="1"/>
  <c r="O406" i="17"/>
  <c r="AA406" i="17" s="1"/>
  <c r="O422" i="17"/>
  <c r="AA422" i="17" s="1"/>
  <c r="O185" i="17"/>
  <c r="AA185" i="17" s="1"/>
  <c r="O124" i="17"/>
  <c r="AA124" i="17" s="1"/>
  <c r="O54" i="17"/>
  <c r="AA54" i="17" s="1"/>
  <c r="O224" i="17"/>
  <c r="AA224" i="17" s="1"/>
  <c r="O288" i="17"/>
  <c r="AA288" i="17" s="1"/>
  <c r="O430" i="17"/>
  <c r="AA430" i="17" s="1"/>
  <c r="O25" i="17"/>
  <c r="AA25" i="17" s="1"/>
  <c r="O89" i="17"/>
  <c r="AA89" i="17" s="1"/>
  <c r="O116" i="17"/>
  <c r="AA116" i="17" s="1"/>
  <c r="O46" i="17"/>
  <c r="AA46" i="17" s="1"/>
  <c r="O61" i="17"/>
  <c r="AA61" i="17" s="1"/>
  <c r="O157" i="17"/>
  <c r="AA157" i="17" s="1"/>
  <c r="O221" i="17"/>
  <c r="AA221" i="17" s="1"/>
  <c r="O285" i="17"/>
  <c r="AA285" i="17" s="1"/>
  <c r="O144" i="17"/>
  <c r="AA144" i="17" s="1"/>
  <c r="O240" i="17"/>
  <c r="AA240" i="17" s="1"/>
  <c r="O304" i="17"/>
  <c r="AA304" i="17" s="1"/>
  <c r="O335" i="17"/>
  <c r="AA335" i="17" s="1"/>
  <c r="O399" i="17"/>
  <c r="AA399" i="17" s="1"/>
  <c r="O362" i="17"/>
  <c r="AA362" i="17" s="1"/>
  <c r="O164" i="17"/>
  <c r="AA164" i="17" s="1"/>
  <c r="O196" i="17"/>
  <c r="AA196" i="17" s="1"/>
  <c r="O260" i="17"/>
  <c r="AA260" i="17" s="1"/>
  <c r="O355" i="17"/>
  <c r="AA355" i="17" s="1"/>
  <c r="O318" i="17"/>
  <c r="AA318" i="17" s="1"/>
  <c r="O382" i="17"/>
  <c r="AA382" i="17" s="1"/>
  <c r="O478" i="17"/>
  <c r="AA478" i="17" s="1"/>
  <c r="O494" i="17"/>
  <c r="AA494" i="17" s="1"/>
  <c r="O455" i="17"/>
  <c r="AA455" i="17" s="1"/>
  <c r="O592" i="17"/>
  <c r="AA592" i="17" s="1"/>
  <c r="O573" i="17"/>
  <c r="AA573" i="17" s="1"/>
  <c r="P49" i="17"/>
  <c r="AB49" i="17" s="1"/>
  <c r="P48" i="17"/>
  <c r="AB48" i="17" s="1"/>
  <c r="O64" i="17"/>
  <c r="AA64" i="17" s="1"/>
  <c r="O63" i="17"/>
  <c r="AA63" i="17" s="1"/>
  <c r="O159" i="17"/>
  <c r="AA159" i="17" s="1"/>
  <c r="O223" i="17"/>
  <c r="AA223" i="17" s="1"/>
  <c r="O287" i="17"/>
  <c r="AA287" i="17" s="1"/>
  <c r="O146" i="17"/>
  <c r="AA146" i="17" s="1"/>
  <c r="O242" i="17"/>
  <c r="AA242" i="17" s="1"/>
  <c r="O306" i="17"/>
  <c r="AA306" i="17" s="1"/>
  <c r="O337" i="17"/>
  <c r="AA337" i="17" s="1"/>
  <c r="O401" i="17"/>
  <c r="AA401" i="17" s="1"/>
  <c r="O364" i="17"/>
  <c r="AA364" i="17" s="1"/>
  <c r="O460" i="17"/>
  <c r="AA460" i="17" s="1"/>
  <c r="O421" i="17"/>
  <c r="AA421" i="17" s="1"/>
  <c r="O485" i="17"/>
  <c r="AA485" i="17" s="1"/>
  <c r="O526" i="17"/>
  <c r="AA526" i="17" s="1"/>
  <c r="O590" i="17"/>
  <c r="AA590" i="17" s="1"/>
  <c r="O604" i="17"/>
  <c r="AA604" i="17" s="1"/>
  <c r="P15" i="17"/>
  <c r="AB15" i="17" s="1"/>
  <c r="P79" i="17"/>
  <c r="AB79" i="17" s="1"/>
  <c r="P14" i="17"/>
  <c r="AB14" i="17" s="1"/>
  <c r="P78" i="17"/>
  <c r="AB78" i="17" s="1"/>
  <c r="O450" i="17"/>
  <c r="AA450" i="17" s="1"/>
  <c r="O514" i="17"/>
  <c r="AA514" i="17" s="1"/>
  <c r="O475" i="17"/>
  <c r="AA475" i="17" s="1"/>
  <c r="O76" i="17"/>
  <c r="AA76" i="17" s="1"/>
  <c r="O43" i="17"/>
  <c r="AA43" i="17" s="1"/>
  <c r="O75" i="17"/>
  <c r="AA75" i="17" s="1"/>
  <c r="O107" i="17"/>
  <c r="AA107" i="17" s="1"/>
  <c r="O139" i="17"/>
  <c r="AA139" i="17" s="1"/>
  <c r="O203" i="17"/>
  <c r="AA203" i="17" s="1"/>
  <c r="O267" i="17"/>
  <c r="AA267" i="17" s="1"/>
  <c r="O158" i="17"/>
  <c r="AA158" i="17" s="1"/>
  <c r="O440" i="17"/>
  <c r="AA440" i="17" s="1"/>
  <c r="O472" i="17"/>
  <c r="AA472" i="17" s="1"/>
  <c r="O504" i="17"/>
  <c r="AA504" i="17" s="1"/>
  <c r="O433" i="17"/>
  <c r="AA433" i="17" s="1"/>
  <c r="O465" i="17"/>
  <c r="AA465" i="17" s="1"/>
  <c r="O497" i="17"/>
  <c r="AA497" i="17" s="1"/>
  <c r="O597" i="17"/>
  <c r="AA597" i="17" s="1"/>
  <c r="P59" i="17"/>
  <c r="AB59" i="17" s="1"/>
  <c r="O431" i="17"/>
  <c r="AA431" i="17" s="1"/>
  <c r="O495" i="17"/>
  <c r="AA495" i="17" s="1"/>
  <c r="O527" i="17"/>
  <c r="AA527" i="17" s="1"/>
  <c r="O536" i="17"/>
  <c r="AA536" i="17" s="1"/>
  <c r="O568" i="17"/>
  <c r="AA568" i="17" s="1"/>
  <c r="O549" i="17"/>
  <c r="AA549" i="17" s="1"/>
  <c r="O595" i="17"/>
  <c r="AA595" i="17" s="1"/>
  <c r="P25" i="17"/>
  <c r="AB25" i="17" s="1"/>
  <c r="P89" i="17"/>
  <c r="AB89" i="17" s="1"/>
  <c r="P24" i="17"/>
  <c r="AB24" i="17" s="1"/>
  <c r="P88" i="17"/>
  <c r="AB88" i="17" s="1"/>
  <c r="O40" i="17"/>
  <c r="AA40" i="17" s="1"/>
  <c r="O104" i="17"/>
  <c r="AA104" i="17" s="1"/>
  <c r="O39" i="17"/>
  <c r="AA39" i="17" s="1"/>
  <c r="O103" i="17"/>
  <c r="AA103" i="17" s="1"/>
  <c r="O135" i="17"/>
  <c r="AA135" i="17" s="1"/>
  <c r="O199" i="17"/>
  <c r="AA199" i="17" s="1"/>
  <c r="O263" i="17"/>
  <c r="AA263" i="17" s="1"/>
  <c r="O122" i="17"/>
  <c r="AA122" i="17" s="1"/>
  <c r="O218" i="17"/>
  <c r="AA218" i="17" s="1"/>
  <c r="O282" i="17"/>
  <c r="AA282" i="17" s="1"/>
  <c r="O314" i="17"/>
  <c r="AA314" i="17" s="1"/>
  <c r="O377" i="17"/>
  <c r="AA377" i="17" s="1"/>
  <c r="O409" i="17"/>
  <c r="AA409" i="17" s="1"/>
  <c r="O340" i="17"/>
  <c r="AA340" i="17" s="1"/>
  <c r="O404" i="17"/>
  <c r="AA404" i="17" s="1"/>
  <c r="O436" i="17"/>
  <c r="AA436" i="17" s="1"/>
  <c r="O500" i="17"/>
  <c r="AA500" i="17" s="1"/>
  <c r="O461" i="17"/>
  <c r="AA461" i="17" s="1"/>
  <c r="O566" i="17"/>
  <c r="AA566" i="17" s="1"/>
  <c r="O579" i="17"/>
  <c r="AA579" i="17" s="1"/>
  <c r="P55" i="17"/>
  <c r="AB55" i="17" s="1"/>
  <c r="P54" i="17"/>
  <c r="AB54" i="17" s="1"/>
  <c r="O426" i="17"/>
  <c r="AA426" i="17" s="1"/>
  <c r="O490" i="17"/>
  <c r="AA490" i="17" s="1"/>
  <c r="O451" i="17"/>
  <c r="AA451" i="17" s="1"/>
  <c r="O588" i="17"/>
  <c r="AA588" i="17" s="1"/>
  <c r="P45" i="17"/>
  <c r="AB45" i="17" s="1"/>
  <c r="P109" i="17"/>
  <c r="AB109" i="17" s="1"/>
  <c r="O50" i="17"/>
  <c r="AA50" i="17" s="1"/>
  <c r="O177" i="17"/>
  <c r="AA177" i="17" s="1"/>
  <c r="O37" i="17"/>
  <c r="AA37" i="17" s="1"/>
  <c r="O84" i="17"/>
  <c r="AA84" i="17" s="1"/>
  <c r="O147" i="17"/>
  <c r="AA147" i="17" s="1"/>
  <c r="O211" i="17"/>
  <c r="AA211" i="17" s="1"/>
  <c r="O275" i="17"/>
  <c r="AA275" i="17" s="1"/>
  <c r="O134" i="17"/>
  <c r="AA134" i="17" s="1"/>
  <c r="O230" i="17"/>
  <c r="AA230" i="17" s="1"/>
  <c r="O294" i="17"/>
  <c r="AA294" i="17" s="1"/>
  <c r="P35" i="17"/>
  <c r="AB35" i="17" s="1"/>
  <c r="P99" i="17"/>
  <c r="AB99" i="17" s="1"/>
  <c r="P34" i="17"/>
  <c r="AB34" i="17" s="1"/>
  <c r="P100" i="17"/>
  <c r="AB100" i="17" s="1"/>
  <c r="O507" i="17"/>
  <c r="AA507" i="17" s="1"/>
  <c r="O561" i="17"/>
  <c r="AA561" i="17" s="1"/>
  <c r="P36" i="17"/>
  <c r="AB36" i="17" s="1"/>
  <c r="O52" i="17"/>
  <c r="AA52" i="17" s="1"/>
  <c r="O27" i="17"/>
  <c r="AA27" i="17" s="1"/>
  <c r="O91" i="17"/>
  <c r="AA91" i="17" s="1"/>
  <c r="O333" i="17"/>
  <c r="AA333" i="17" s="1"/>
  <c r="O397" i="17"/>
  <c r="AA397" i="17" s="1"/>
  <c r="O360" i="17"/>
  <c r="AA360" i="17" s="1"/>
  <c r="O456" i="17"/>
  <c r="AA456" i="17" s="1"/>
  <c r="O481" i="17"/>
  <c r="AA481" i="17" s="1"/>
  <c r="O522" i="17"/>
  <c r="AA522" i="17" s="1"/>
  <c r="O586" i="17"/>
  <c r="AA586" i="17" s="1"/>
  <c r="O600" i="17"/>
  <c r="AA600" i="17" s="1"/>
  <c r="O439" i="17"/>
  <c r="AA439" i="17" s="1"/>
  <c r="O503" i="17"/>
  <c r="AA503" i="17" s="1"/>
  <c r="O535" i="17"/>
  <c r="AA535" i="17" s="1"/>
  <c r="O576" i="17"/>
  <c r="AA576" i="17" s="1"/>
  <c r="O557" i="17"/>
  <c r="AA557" i="17" s="1"/>
  <c r="P33" i="17"/>
  <c r="AB33" i="17" s="1"/>
  <c r="P97" i="17"/>
  <c r="AB97" i="17" s="1"/>
  <c r="P32" i="17"/>
  <c r="AB32" i="17" s="1"/>
  <c r="O48" i="17"/>
  <c r="AA48" i="17" s="1"/>
  <c r="O47" i="17"/>
  <c r="AA47" i="17" s="1"/>
  <c r="O143" i="17"/>
  <c r="AA143" i="17" s="1"/>
  <c r="O207" i="17"/>
  <c r="AA207" i="17" s="1"/>
  <c r="O271" i="17"/>
  <c r="AA271" i="17" s="1"/>
  <c r="O130" i="17"/>
  <c r="AA130" i="17" s="1"/>
  <c r="O226" i="17"/>
  <c r="AA226" i="17" s="1"/>
  <c r="O290" i="17"/>
  <c r="AA290" i="17" s="1"/>
  <c r="O321" i="17"/>
  <c r="AA321" i="17" s="1"/>
  <c r="O385" i="17"/>
  <c r="AA385" i="17" s="1"/>
  <c r="O348" i="17"/>
  <c r="AA348" i="17" s="1"/>
  <c r="O412" i="17"/>
  <c r="AA412" i="17" s="1"/>
  <c r="O444" i="17"/>
  <c r="AA444" i="17" s="1"/>
  <c r="O508" i="17"/>
  <c r="AA508" i="17" s="1"/>
  <c r="O469" i="17"/>
  <c r="AA469" i="17" s="1"/>
  <c r="O574" i="17"/>
  <c r="AA574" i="17" s="1"/>
  <c r="O587" i="17"/>
  <c r="AA587" i="17" s="1"/>
  <c r="O601" i="17"/>
  <c r="AA601" i="17" s="1"/>
  <c r="P63" i="17"/>
  <c r="AB63" i="17" s="1"/>
  <c r="P62" i="17"/>
  <c r="AB62" i="17" s="1"/>
  <c r="O434" i="17"/>
  <c r="AA434" i="17" s="1"/>
  <c r="O498" i="17"/>
  <c r="AA498" i="17" s="1"/>
  <c r="O459" i="17"/>
  <c r="AA459" i="17" s="1"/>
  <c r="O564" i="17"/>
  <c r="AA564" i="17" s="1"/>
  <c r="P47" i="17"/>
  <c r="AB47" i="17" s="1"/>
  <c r="P46" i="17"/>
  <c r="AB46" i="17" s="1"/>
  <c r="O418" i="17"/>
  <c r="AA418" i="17" s="1"/>
  <c r="O482" i="17"/>
  <c r="AA482" i="17" s="1"/>
  <c r="O443" i="17"/>
  <c r="AA443" i="17" s="1"/>
  <c r="O532" i="17"/>
  <c r="AA532" i="17" s="1"/>
  <c r="O36" i="17"/>
  <c r="AA36" i="17" s="1"/>
  <c r="O108" i="17"/>
  <c r="AA108" i="17" s="1"/>
  <c r="O171" i="17"/>
  <c r="AA171" i="17" s="1"/>
  <c r="O235" i="17"/>
  <c r="AA235" i="17" s="1"/>
  <c r="O299" i="17"/>
  <c r="AA299" i="17" s="1"/>
  <c r="O126" i="17"/>
  <c r="AA126" i="17" s="1"/>
  <c r="O538" i="17"/>
  <c r="AA538" i="17" s="1"/>
  <c r="O570" i="17"/>
  <c r="AA570" i="17" s="1"/>
  <c r="O551" i="17"/>
  <c r="AA551" i="17" s="1"/>
  <c r="O583" i="17"/>
  <c r="AA583" i="17" s="1"/>
  <c r="P27" i="17"/>
  <c r="AB27" i="17" s="1"/>
  <c r="P91" i="17"/>
  <c r="AB91" i="17" s="1"/>
  <c r="O502" i="17"/>
  <c r="AA502" i="17" s="1"/>
  <c r="O463" i="17"/>
  <c r="AA463" i="17" s="1"/>
  <c r="O581" i="17"/>
  <c r="AA581" i="17" s="1"/>
  <c r="P57" i="17"/>
  <c r="AB57" i="17" s="1"/>
  <c r="P56" i="17"/>
  <c r="AB56" i="17" s="1"/>
  <c r="O72" i="17"/>
  <c r="AA72" i="17" s="1"/>
  <c r="O71" i="17"/>
  <c r="AA71" i="17" s="1"/>
  <c r="O167" i="17"/>
  <c r="AA167" i="17" s="1"/>
  <c r="O231" i="17"/>
  <c r="AA231" i="17" s="1"/>
  <c r="O295" i="17"/>
  <c r="AA295" i="17" s="1"/>
  <c r="O154" i="17"/>
  <c r="AA154" i="17" s="1"/>
  <c r="O186" i="17"/>
  <c r="AA186" i="17" s="1"/>
  <c r="O250" i="17"/>
  <c r="AA250" i="17" s="1"/>
  <c r="O345" i="17"/>
  <c r="AA345" i="17" s="1"/>
  <c r="O372" i="17"/>
  <c r="AA372" i="17" s="1"/>
  <c r="O468" i="17"/>
  <c r="AA468" i="17" s="1"/>
  <c r="O429" i="17"/>
  <c r="AA429" i="17" s="1"/>
  <c r="O493" i="17"/>
  <c r="AA493" i="17" s="1"/>
  <c r="O525" i="17"/>
  <c r="AA525" i="17" s="1"/>
  <c r="O534" i="17"/>
  <c r="AA534" i="17" s="1"/>
  <c r="O547" i="17"/>
  <c r="AA547" i="17" s="1"/>
  <c r="O612" i="17"/>
  <c r="AA612" i="17" s="1"/>
  <c r="P23" i="17"/>
  <c r="AB23" i="17" s="1"/>
  <c r="P87" i="17"/>
  <c r="AB87" i="17" s="1"/>
  <c r="P22" i="17"/>
  <c r="AB22" i="17" s="1"/>
  <c r="P86" i="17"/>
  <c r="AB86" i="17" s="1"/>
  <c r="O458" i="17"/>
  <c r="AA458" i="17" s="1"/>
  <c r="O419" i="17"/>
  <c r="AA419" i="17" s="1"/>
  <c r="O524" i="17"/>
  <c r="AA524" i="17" s="1"/>
  <c r="O556" i="17"/>
  <c r="AA556" i="17" s="1"/>
  <c r="P13" i="17"/>
  <c r="AB13" i="17" s="1"/>
  <c r="P77" i="17"/>
  <c r="AB77" i="17" s="1"/>
  <c r="O113" i="17"/>
  <c r="AA113" i="17" s="1"/>
  <c r="O241" i="17"/>
  <c r="AA241" i="17" s="1"/>
  <c r="O115" i="17"/>
  <c r="AA115" i="17" s="1"/>
  <c r="O179" i="17"/>
  <c r="AA179" i="17" s="1"/>
  <c r="O243" i="17"/>
  <c r="AA243" i="17" s="1"/>
  <c r="O307" i="17"/>
  <c r="AA307" i="17" s="1"/>
  <c r="O166" i="17"/>
  <c r="AA166" i="17" s="1"/>
  <c r="O198" i="17"/>
  <c r="AA198" i="17" s="1"/>
  <c r="O262" i="17"/>
  <c r="AA262" i="17" s="1"/>
  <c r="O605" i="17"/>
  <c r="AA605" i="17" s="1"/>
  <c r="P67" i="17"/>
  <c r="AB67" i="17" s="1"/>
  <c r="P66" i="17"/>
  <c r="AB66" i="17" s="1"/>
  <c r="P132" i="17"/>
  <c r="AB132" i="17" s="1"/>
  <c r="O593" i="17"/>
  <c r="AA593" i="17" s="1"/>
  <c r="P68" i="17"/>
  <c r="AB68" i="17" s="1"/>
  <c r="O20" i="17"/>
  <c r="AA20" i="17" s="1"/>
  <c r="O59" i="17"/>
  <c r="AA59" i="17" s="1"/>
  <c r="O365" i="17"/>
  <c r="AA365" i="17" s="1"/>
  <c r="O328" i="17"/>
  <c r="AA328" i="17" s="1"/>
  <c r="O392" i="17"/>
  <c r="AA392" i="17" s="1"/>
  <c r="O424" i="17"/>
  <c r="AA424" i="17" s="1"/>
  <c r="O488" i="17"/>
  <c r="AA488" i="17" s="1"/>
  <c r="O417" i="17"/>
  <c r="AA417" i="17" s="1"/>
  <c r="O449" i="17"/>
  <c r="AA449" i="17" s="1"/>
  <c r="O513" i="17"/>
  <c r="AA513" i="17" s="1"/>
  <c r="O554" i="17"/>
  <c r="AA554" i="17" s="1"/>
  <c r="O567" i="17"/>
  <c r="AA567" i="17" s="1"/>
  <c r="O510" i="17"/>
  <c r="AA510" i="17" s="1"/>
  <c r="O471" i="17"/>
  <c r="AA471" i="17" s="1"/>
  <c r="O544" i="17"/>
  <c r="AA544" i="17" s="1"/>
  <c r="O589" i="17"/>
  <c r="AA589" i="17" s="1"/>
  <c r="O603" i="17"/>
  <c r="AA603" i="17" s="1"/>
  <c r="P65" i="17"/>
  <c r="AB65" i="17" s="1"/>
  <c r="P64" i="17"/>
  <c r="AB64" i="17" s="1"/>
  <c r="O16" i="17"/>
  <c r="AA16" i="17" s="1"/>
  <c r="O80" i="17"/>
  <c r="AA80" i="17" s="1"/>
  <c r="O15" i="17"/>
  <c r="AA15" i="17" s="1"/>
  <c r="O79" i="17"/>
  <c r="AA79" i="17" s="1"/>
  <c r="O111" i="17"/>
  <c r="AA111" i="17" s="1"/>
  <c r="O175" i="17"/>
  <c r="AA175" i="17" s="1"/>
  <c r="O239" i="17"/>
  <c r="AA239" i="17" s="1"/>
  <c r="O303" i="17"/>
  <c r="AA303" i="17" s="1"/>
  <c r="O162" i="17"/>
  <c r="AA162" i="17" s="1"/>
  <c r="O194" i="17"/>
  <c r="AA194" i="17" s="1"/>
  <c r="O258" i="17"/>
  <c r="AA258" i="17" s="1"/>
  <c r="O353" i="17"/>
  <c r="AA353" i="17" s="1"/>
  <c r="O316" i="17"/>
  <c r="AA316" i="17" s="1"/>
  <c r="O380" i="17"/>
  <c r="AA380" i="17" s="1"/>
  <c r="O476" i="17"/>
  <c r="AA476" i="17" s="1"/>
  <c r="O437" i="17"/>
  <c r="AA437" i="17" s="1"/>
  <c r="O501" i="17"/>
  <c r="AA501" i="17" s="1"/>
  <c r="O533" i="17"/>
  <c r="AA533" i="17" s="1"/>
  <c r="O542" i="17"/>
  <c r="AA542" i="17" s="1"/>
  <c r="O555" i="17"/>
  <c r="AA555" i="17" s="1"/>
  <c r="P31" i="17"/>
  <c r="AB31" i="17" s="1"/>
  <c r="P95" i="17"/>
  <c r="AB95" i="17" s="1"/>
  <c r="P30" i="17"/>
  <c r="AB30" i="17" s="1"/>
  <c r="P96" i="17"/>
  <c r="AB96" i="17" s="1"/>
  <c r="O466" i="17"/>
  <c r="AA466" i="17" s="1"/>
  <c r="O427" i="17"/>
  <c r="AA427" i="17" s="1"/>
  <c r="O491" i="17"/>
  <c r="AA491" i="17" s="1"/>
  <c r="O523" i="17"/>
  <c r="AA523" i="17" s="1"/>
  <c r="O539" i="17"/>
  <c r="AA539" i="17" s="1"/>
  <c r="O548" i="17"/>
  <c r="AA548" i="17" s="1"/>
  <c r="O580" i="17"/>
  <c r="AA580" i="17" s="1"/>
  <c r="O545" i="17"/>
  <c r="AA545" i="17" s="1"/>
  <c r="O610" i="17"/>
  <c r="AA610" i="17" s="1"/>
  <c r="O607" i="17"/>
  <c r="AA607" i="17" s="1"/>
  <c r="P37" i="17"/>
  <c r="AB37" i="17" s="1"/>
  <c r="P69" i="17"/>
  <c r="AB69" i="17" s="1"/>
  <c r="P101" i="17"/>
  <c r="AB101" i="17" s="1"/>
  <c r="P20" i="17"/>
  <c r="AB20" i="17" s="1"/>
  <c r="P84" i="17"/>
  <c r="AB84" i="17" s="1"/>
  <c r="O34" i="17"/>
  <c r="AA34" i="17" s="1"/>
  <c r="O98" i="17"/>
  <c r="AA98" i="17" s="1"/>
  <c r="O161" i="17"/>
  <c r="AA161" i="17" s="1"/>
  <c r="O225" i="17"/>
  <c r="AA225" i="17" s="1"/>
  <c r="O21" i="17"/>
  <c r="AA21" i="17" s="1"/>
  <c r="O60" i="17"/>
  <c r="AA60" i="17" s="1"/>
  <c r="O19" i="17"/>
  <c r="AA19" i="17" s="1"/>
  <c r="O83" i="17"/>
  <c r="AA83" i="17" s="1"/>
  <c r="O155" i="17"/>
  <c r="AA155" i="17" s="1"/>
  <c r="O219" i="17"/>
  <c r="AA219" i="17" s="1"/>
  <c r="O283" i="17"/>
  <c r="AA283" i="17" s="1"/>
  <c r="O110" i="17"/>
  <c r="AA110" i="17" s="1"/>
  <c r="O142" i="17"/>
  <c r="AA142" i="17" s="1"/>
  <c r="O206" i="17"/>
  <c r="AA206" i="17" s="1"/>
  <c r="O238" i="17"/>
  <c r="AA238" i="17" s="1"/>
  <c r="O270" i="17"/>
  <c r="AA270" i="17" s="1"/>
  <c r="O302" i="17"/>
  <c r="AA302" i="17" s="1"/>
  <c r="O317" i="17"/>
  <c r="AA317" i="17" s="1"/>
  <c r="O381" i="17"/>
  <c r="AA381" i="17" s="1"/>
  <c r="O413" i="17"/>
  <c r="AA413" i="17" s="1"/>
  <c r="O344" i="17"/>
  <c r="AA344" i="17" s="1"/>
  <c r="O408" i="17"/>
  <c r="AA408" i="17" s="1"/>
  <c r="O480" i="17"/>
  <c r="AA480" i="17" s="1"/>
  <c r="O441" i="17"/>
  <c r="AA441" i="17" s="1"/>
  <c r="O505" i="17"/>
  <c r="AA505" i="17" s="1"/>
  <c r="O546" i="17"/>
  <c r="AA546" i="17" s="1"/>
  <c r="O559" i="17"/>
  <c r="AA559" i="17" s="1"/>
  <c r="O613" i="17"/>
  <c r="AA613" i="17" s="1"/>
  <c r="P75" i="17"/>
  <c r="AB75" i="17" s="1"/>
  <c r="P42" i="17"/>
  <c r="AB42" i="17" s="1"/>
  <c r="P74" i="17"/>
  <c r="AB74" i="17" s="1"/>
  <c r="P108" i="17"/>
  <c r="AB108" i="17" s="1"/>
  <c r="O483" i="17"/>
  <c r="AA483" i="17" s="1"/>
  <c r="O602" i="17"/>
  <c r="AA602" i="17" s="1"/>
  <c r="P76" i="17"/>
  <c r="AB76" i="17" s="1"/>
  <c r="O325" i="17"/>
  <c r="AA325" i="17" s="1"/>
  <c r="O389" i="17"/>
  <c r="AA389" i="17" s="1"/>
  <c r="O352" i="17"/>
  <c r="AA352" i="17" s="1"/>
  <c r="O416" i="17"/>
  <c r="AA416" i="17" s="1"/>
  <c r="O479" i="17"/>
  <c r="AA479" i="17" s="1"/>
  <c r="O543" i="17"/>
  <c r="AA543" i="17" s="1"/>
  <c r="O552" i="17"/>
  <c r="AA552" i="17" s="1"/>
  <c r="O598" i="17"/>
  <c r="AA598" i="17" s="1"/>
  <c r="O611" i="17"/>
  <c r="AA611" i="17" s="1"/>
  <c r="P73" i="17"/>
  <c r="AB73" i="17" s="1"/>
  <c r="P72" i="17"/>
  <c r="AB72" i="17" s="1"/>
  <c r="O24" i="17"/>
  <c r="AA24" i="17" s="1"/>
  <c r="O88" i="17"/>
  <c r="AA88" i="17" s="1"/>
  <c r="O23" i="17"/>
  <c r="AA23" i="17" s="1"/>
  <c r="O87" i="17"/>
  <c r="AA87" i="17" s="1"/>
  <c r="O119" i="17"/>
  <c r="AA119" i="17" s="1"/>
  <c r="O183" i="17"/>
  <c r="AA183" i="17" s="1"/>
  <c r="O247" i="17"/>
  <c r="AA247" i="17" s="1"/>
  <c r="O311" i="17"/>
  <c r="AA311" i="17" s="1"/>
  <c r="O170" i="17"/>
  <c r="AA170" i="17" s="1"/>
  <c r="O202" i="17"/>
  <c r="AA202" i="17" s="1"/>
  <c r="O266" i="17"/>
  <c r="AA266" i="17" s="1"/>
  <c r="O361" i="17"/>
  <c r="AA361" i="17" s="1"/>
  <c r="O324" i="17"/>
  <c r="AA324" i="17" s="1"/>
  <c r="O388" i="17"/>
  <c r="AA388" i="17" s="1"/>
  <c r="O420" i="17"/>
  <c r="AA420" i="17" s="1"/>
  <c r="O484" i="17"/>
  <c r="AA484" i="17" s="1"/>
  <c r="O445" i="17"/>
  <c r="AA445" i="17" s="1"/>
  <c r="O509" i="17"/>
  <c r="AA509" i="17" s="1"/>
  <c r="O550" i="17"/>
  <c r="AA550" i="17" s="1"/>
  <c r="O563" i="17"/>
  <c r="AA563" i="17" s="1"/>
  <c r="P39" i="17"/>
  <c r="AB39" i="17" s="1"/>
  <c r="P103" i="17"/>
  <c r="AB103" i="17" s="1"/>
  <c r="P38" i="17"/>
  <c r="AB38" i="17" s="1"/>
  <c r="O474" i="17"/>
  <c r="AA474" i="17" s="1"/>
  <c r="O435" i="17"/>
  <c r="AA435" i="17" s="1"/>
  <c r="O499" i="17"/>
  <c r="AA499" i="17" s="1"/>
  <c r="O531" i="17"/>
  <c r="AA531" i="17" s="1"/>
  <c r="O540" i="17"/>
  <c r="AA540" i="17" s="1"/>
  <c r="O572" i="17"/>
  <c r="AA572" i="17" s="1"/>
  <c r="O553" i="17"/>
  <c r="AA553" i="17" s="1"/>
  <c r="P29" i="17"/>
  <c r="AB29" i="17" s="1"/>
  <c r="P93" i="17"/>
  <c r="AB93" i="17" s="1"/>
  <c r="P28" i="17"/>
  <c r="AB28" i="17" s="1"/>
  <c r="P92" i="17"/>
  <c r="AB92" i="17" s="1"/>
  <c r="O44" i="17"/>
  <c r="AA44" i="17" s="1"/>
  <c r="O82" i="17"/>
  <c r="AA82" i="17" s="1"/>
  <c r="O209" i="17"/>
  <c r="AA209" i="17" s="1"/>
  <c r="O100" i="17"/>
  <c r="AA100" i="17" s="1"/>
  <c r="O35" i="17"/>
  <c r="AA35" i="17" s="1"/>
  <c r="O99" i="17"/>
  <c r="AA99" i="17" s="1"/>
  <c r="O131" i="17"/>
  <c r="AA131" i="17" s="1"/>
  <c r="O195" i="17"/>
  <c r="AA195" i="17" s="1"/>
  <c r="O259" i="17"/>
  <c r="AA259" i="17" s="1"/>
  <c r="O118" i="17"/>
  <c r="AA118" i="17" s="1"/>
  <c r="O214" i="17"/>
  <c r="AA214" i="17" s="1"/>
  <c r="O278" i="17"/>
  <c r="AA278" i="17" s="1"/>
  <c r="O373" i="17"/>
  <c r="AA373" i="17" s="1"/>
  <c r="O336" i="17"/>
  <c r="AA336" i="17" s="1"/>
  <c r="O400" i="17"/>
  <c r="AA400" i="17" s="1"/>
  <c r="O432" i="17"/>
  <c r="AA432" i="17" s="1"/>
  <c r="O496" i="17"/>
  <c r="AA496" i="17" s="1"/>
  <c r="O457" i="17"/>
  <c r="AA457" i="17" s="1"/>
  <c r="O562" i="17"/>
  <c r="AA562" i="17" s="1"/>
  <c r="O575" i="17"/>
  <c r="AA575" i="17" s="1"/>
  <c r="P51" i="17"/>
  <c r="AB51" i="17" s="1"/>
  <c r="P50" i="17"/>
  <c r="AB50" i="17" s="1"/>
  <c r="P116" i="17"/>
  <c r="AB116" i="17" s="1"/>
  <c r="P180" i="17"/>
  <c r="AB180" i="17" s="1"/>
  <c r="P160" i="17"/>
  <c r="AB160" i="17" s="1"/>
  <c r="P224" i="17"/>
  <c r="AB224" i="17" s="1"/>
  <c r="P288" i="17"/>
  <c r="AB288" i="17" s="1"/>
  <c r="P147" i="17"/>
  <c r="AB147" i="17" s="1"/>
  <c r="P211" i="17"/>
  <c r="AB211" i="17" s="1"/>
  <c r="P275" i="17"/>
  <c r="AB275" i="17" s="1"/>
  <c r="P372" i="17"/>
  <c r="AB372" i="17" s="1"/>
  <c r="P365" i="17"/>
  <c r="AB365" i="17" s="1"/>
  <c r="P461" i="17"/>
  <c r="AB461" i="17" s="1"/>
  <c r="P424" i="17"/>
  <c r="AB424" i="17" s="1"/>
  <c r="P488" i="17"/>
  <c r="AB488" i="17" s="1"/>
  <c r="P583" i="17"/>
  <c r="AB583" i="17" s="1"/>
  <c r="P541" i="17"/>
  <c r="AB541" i="17" s="1"/>
  <c r="P603" i="17"/>
  <c r="AB603" i="17" s="1"/>
  <c r="P94" i="17"/>
  <c r="AB94" i="17" s="1"/>
  <c r="P158" i="17"/>
  <c r="AB158" i="17" s="1"/>
  <c r="P222" i="17"/>
  <c r="AB222" i="17" s="1"/>
  <c r="P286" i="17"/>
  <c r="AB286" i="17" s="1"/>
  <c r="P145" i="17"/>
  <c r="AB145" i="17" s="1"/>
  <c r="P209" i="17"/>
  <c r="AB209" i="17" s="1"/>
  <c r="P273" i="17"/>
  <c r="AB273" i="17" s="1"/>
  <c r="P370" i="17"/>
  <c r="AB370" i="17" s="1"/>
  <c r="P363" i="17"/>
  <c r="AB363" i="17" s="1"/>
  <c r="P459" i="17"/>
  <c r="AB459" i="17" s="1"/>
  <c r="P422" i="17"/>
  <c r="AB422" i="17" s="1"/>
  <c r="P486" i="17"/>
  <c r="AB486" i="17" s="1"/>
  <c r="P549" i="17"/>
  <c r="AB549" i="17" s="1"/>
  <c r="P539" i="17"/>
  <c r="AB539" i="17" s="1"/>
  <c r="P601" i="17"/>
  <c r="AB601" i="17" s="1"/>
  <c r="O518" i="17"/>
  <c r="AA518" i="17" s="1"/>
  <c r="O577" i="17"/>
  <c r="AA577" i="17" s="1"/>
  <c r="P21" i="17"/>
  <c r="AB21" i="17" s="1"/>
  <c r="P53" i="17"/>
  <c r="AB53" i="17" s="1"/>
  <c r="P85" i="17"/>
  <c r="AB85" i="17" s="1"/>
  <c r="P52" i="17"/>
  <c r="AB52" i="17" s="1"/>
  <c r="O28" i="17"/>
  <c r="AA28" i="17" s="1"/>
  <c r="O66" i="17"/>
  <c r="AA66" i="17" s="1"/>
  <c r="O129" i="17"/>
  <c r="AA129" i="17" s="1"/>
  <c r="O193" i="17"/>
  <c r="AA193" i="17" s="1"/>
  <c r="O257" i="17"/>
  <c r="AA257" i="17" s="1"/>
  <c r="O92" i="17"/>
  <c r="AA92" i="17" s="1"/>
  <c r="O51" i="17"/>
  <c r="AA51" i="17" s="1"/>
  <c r="O123" i="17"/>
  <c r="AA123" i="17" s="1"/>
  <c r="O187" i="17"/>
  <c r="AA187" i="17" s="1"/>
  <c r="O251" i="17"/>
  <c r="AA251" i="17" s="1"/>
  <c r="O174" i="17"/>
  <c r="AA174" i="17" s="1"/>
  <c r="O190" i="17"/>
  <c r="AA190" i="17" s="1"/>
  <c r="O222" i="17"/>
  <c r="AA222" i="17" s="1"/>
  <c r="O254" i="17"/>
  <c r="AA254" i="17" s="1"/>
  <c r="O286" i="17"/>
  <c r="AA286" i="17" s="1"/>
  <c r="O349" i="17"/>
  <c r="AA349" i="17" s="1"/>
  <c r="O376" i="17"/>
  <c r="AA376" i="17" s="1"/>
  <c r="O448" i="17"/>
  <c r="AA448" i="17" s="1"/>
  <c r="O512" i="17"/>
  <c r="AA512" i="17" s="1"/>
  <c r="O473" i="17"/>
  <c r="AA473" i="17" s="1"/>
  <c r="O529" i="17"/>
  <c r="AA529" i="17" s="1"/>
  <c r="O578" i="17"/>
  <c r="AA578" i="17" s="1"/>
  <c r="O591" i="17"/>
  <c r="AA591" i="17" s="1"/>
  <c r="P43" i="17"/>
  <c r="AB43" i="17" s="1"/>
  <c r="P107" i="17"/>
  <c r="AB107" i="17" s="1"/>
  <c r="P26" i="17"/>
  <c r="AB26" i="17" s="1"/>
  <c r="P58" i="17"/>
  <c r="AB58" i="17" s="1"/>
  <c r="P90" i="17"/>
  <c r="AB90" i="17" s="1"/>
  <c r="P124" i="17"/>
  <c r="AB124" i="17" s="1"/>
  <c r="O515" i="17"/>
  <c r="AA515" i="17" s="1"/>
  <c r="O569" i="17"/>
  <c r="AA569" i="17" s="1"/>
  <c r="P44" i="17"/>
  <c r="AB44" i="17" s="1"/>
  <c r="O357" i="17"/>
  <c r="AA357" i="17" s="1"/>
  <c r="O320" i="17"/>
  <c r="AA320" i="17" s="1"/>
  <c r="O384" i="17"/>
  <c r="AA384" i="17" s="1"/>
  <c r="O537" i="17"/>
  <c r="AA537" i="17" s="1"/>
  <c r="O486" i="17"/>
  <c r="AA486" i="17" s="1"/>
  <c r="O520" i="17"/>
  <c r="AA520" i="17" s="1"/>
  <c r="O447" i="17"/>
  <c r="AA447" i="17" s="1"/>
  <c r="O511" i="17"/>
  <c r="AA511" i="17" s="1"/>
  <c r="O584" i="17"/>
  <c r="AA584" i="17" s="1"/>
  <c r="O565" i="17"/>
  <c r="AA565" i="17" s="1"/>
  <c r="P41" i="17"/>
  <c r="AB41" i="17" s="1"/>
  <c r="P105" i="17"/>
  <c r="AB105" i="17" s="1"/>
  <c r="P40" i="17"/>
  <c r="AB40" i="17" s="1"/>
  <c r="O56" i="17"/>
  <c r="AA56" i="17" s="1"/>
  <c r="O55" i="17"/>
  <c r="AA55" i="17" s="1"/>
  <c r="O151" i="17"/>
  <c r="AA151" i="17" s="1"/>
  <c r="O215" i="17"/>
  <c r="AA215" i="17" s="1"/>
  <c r="O279" i="17"/>
  <c r="AA279" i="17" s="1"/>
  <c r="O138" i="17"/>
  <c r="AA138" i="17" s="1"/>
  <c r="O234" i="17"/>
  <c r="AA234" i="17" s="1"/>
  <c r="O298" i="17"/>
  <c r="AA298" i="17" s="1"/>
  <c r="O329" i="17"/>
  <c r="AA329" i="17" s="1"/>
  <c r="O393" i="17"/>
  <c r="AA393" i="17" s="1"/>
  <c r="O356" i="17"/>
  <c r="AA356" i="17" s="1"/>
  <c r="O452" i="17"/>
  <c r="AA452" i="17" s="1"/>
  <c r="O516" i="17"/>
  <c r="AA516" i="17" s="1"/>
  <c r="O477" i="17"/>
  <c r="AA477" i="17" s="1"/>
  <c r="O541" i="17"/>
  <c r="AA541" i="17" s="1"/>
  <c r="O582" i="17"/>
  <c r="AA582" i="17" s="1"/>
  <c r="O596" i="17"/>
  <c r="AA596" i="17" s="1"/>
  <c r="O609" i="17"/>
  <c r="AA609" i="17" s="1"/>
  <c r="P71" i="17"/>
  <c r="AB71" i="17" s="1"/>
  <c r="P70" i="17"/>
  <c r="AB70" i="17" s="1"/>
  <c r="O410" i="17"/>
  <c r="AA410" i="17" s="1"/>
  <c r="O442" i="17"/>
  <c r="AA442" i="17" s="1"/>
  <c r="O506" i="17"/>
  <c r="AA506" i="17" s="1"/>
  <c r="O467" i="17"/>
  <c r="AA467" i="17" s="1"/>
  <c r="O585" i="17"/>
  <c r="AA585" i="17" s="1"/>
  <c r="O599" i="17"/>
  <c r="AA599" i="17" s="1"/>
  <c r="P61" i="17"/>
  <c r="AB61" i="17" s="1"/>
  <c r="P60" i="17"/>
  <c r="AB60" i="17" s="1"/>
  <c r="O18" i="17"/>
  <c r="AA18" i="17" s="1"/>
  <c r="O145" i="17"/>
  <c r="AA145" i="17" s="1"/>
  <c r="O273" i="17"/>
  <c r="AA273" i="17" s="1"/>
  <c r="O68" i="17"/>
  <c r="AA68" i="17" s="1"/>
  <c r="O67" i="17"/>
  <c r="AA67" i="17" s="1"/>
  <c r="O163" i="17"/>
  <c r="AA163" i="17" s="1"/>
  <c r="O227" i="17"/>
  <c r="AA227" i="17" s="1"/>
  <c r="O291" i="17"/>
  <c r="AA291" i="17" s="1"/>
  <c r="O150" i="17"/>
  <c r="AA150" i="17" s="1"/>
  <c r="O182" i="17"/>
  <c r="AA182" i="17" s="1"/>
  <c r="O246" i="17"/>
  <c r="AA246" i="17" s="1"/>
  <c r="O310" i="17"/>
  <c r="AA310" i="17" s="1"/>
  <c r="O341" i="17"/>
  <c r="AA341" i="17" s="1"/>
  <c r="O405" i="17"/>
  <c r="AA405" i="17" s="1"/>
  <c r="O368" i="17"/>
  <c r="AA368" i="17" s="1"/>
  <c r="O464" i="17"/>
  <c r="AA464" i="17" s="1"/>
  <c r="O425" i="17"/>
  <c r="AA425" i="17" s="1"/>
  <c r="O489" i="17"/>
  <c r="AA489" i="17" s="1"/>
  <c r="O521" i="17"/>
  <c r="AA521" i="17" s="1"/>
  <c r="O530" i="17"/>
  <c r="AA530" i="17" s="1"/>
  <c r="O594" i="17"/>
  <c r="AA594" i="17" s="1"/>
  <c r="O608" i="17"/>
  <c r="AA608" i="17" s="1"/>
  <c r="P19" i="17"/>
  <c r="AB19" i="17" s="1"/>
  <c r="P83" i="17"/>
  <c r="AB83" i="17" s="1"/>
  <c r="P18" i="17"/>
  <c r="AB18" i="17" s="1"/>
  <c r="P82" i="17"/>
  <c r="AB82" i="17" s="1"/>
  <c r="P148" i="17"/>
  <c r="AB148" i="17" s="1"/>
  <c r="P128" i="17"/>
  <c r="AB128" i="17" s="1"/>
  <c r="P192" i="17"/>
  <c r="AB192" i="17" s="1"/>
  <c r="P256" i="17"/>
  <c r="AB256" i="17" s="1"/>
  <c r="P115" i="17"/>
  <c r="AB115" i="17" s="1"/>
  <c r="P179" i="17"/>
  <c r="AB179" i="17" s="1"/>
  <c r="P243" i="17"/>
  <c r="AB243" i="17" s="1"/>
  <c r="P307" i="17"/>
  <c r="AB307" i="17" s="1"/>
  <c r="P340" i="17"/>
  <c r="AB340" i="17" s="1"/>
  <c r="P404" i="17"/>
  <c r="AB404" i="17" s="1"/>
  <c r="P333" i="17"/>
  <c r="AB333" i="17" s="1"/>
  <c r="P397" i="17"/>
  <c r="AB397" i="17" s="1"/>
  <c r="P429" i="17"/>
  <c r="AB429" i="17" s="1"/>
  <c r="P493" i="17"/>
  <c r="AB493" i="17" s="1"/>
  <c r="P456" i="17"/>
  <c r="AB456" i="17" s="1"/>
  <c r="P518" i="17"/>
  <c r="AB518" i="17" s="1"/>
  <c r="P551" i="17"/>
  <c r="AB551" i="17" s="1"/>
  <c r="P572" i="17"/>
  <c r="AB572" i="17" s="1"/>
  <c r="P126" i="17"/>
  <c r="AB126" i="17" s="1"/>
  <c r="P190" i="17"/>
  <c r="AB190" i="17" s="1"/>
  <c r="P254" i="17"/>
  <c r="AB254" i="17" s="1"/>
  <c r="P113" i="17"/>
  <c r="AB113" i="17" s="1"/>
  <c r="P177" i="17"/>
  <c r="AB177" i="17" s="1"/>
  <c r="P241" i="17"/>
  <c r="AB241" i="17" s="1"/>
  <c r="P305" i="17"/>
  <c r="AB305" i="17" s="1"/>
  <c r="P338" i="17"/>
  <c r="AB338" i="17" s="1"/>
  <c r="P402" i="17"/>
  <c r="AB402" i="17" s="1"/>
  <c r="P331" i="17"/>
  <c r="AB331" i="17" s="1"/>
  <c r="P395" i="17"/>
  <c r="AB395" i="17" s="1"/>
  <c r="P427" i="17"/>
  <c r="AB427" i="17" s="1"/>
  <c r="P491" i="17"/>
  <c r="AB491" i="17" s="1"/>
  <c r="P454" i="17"/>
  <c r="AB454" i="17" s="1"/>
  <c r="P519" i="17"/>
  <c r="AB519" i="17" s="1"/>
  <c r="P581" i="17"/>
  <c r="AB581" i="17" s="1"/>
  <c r="P570" i="17"/>
  <c r="AB570" i="17" s="1"/>
  <c r="P212" i="17"/>
  <c r="AB212" i="17" s="1"/>
  <c r="P172" i="17"/>
  <c r="AB172" i="17" s="1"/>
  <c r="P152" i="17"/>
  <c r="AB152" i="17" s="1"/>
  <c r="P216" i="17"/>
  <c r="AB216" i="17" s="1"/>
  <c r="P280" i="17"/>
  <c r="AB280" i="17" s="1"/>
  <c r="P139" i="17"/>
  <c r="AB139" i="17" s="1"/>
  <c r="P203" i="17"/>
  <c r="AB203" i="17" s="1"/>
  <c r="P267" i="17"/>
  <c r="AB267" i="17" s="1"/>
  <c r="P364" i="17"/>
  <c r="AB364" i="17" s="1"/>
  <c r="P357" i="17"/>
  <c r="AB357" i="17" s="1"/>
  <c r="P453" i="17"/>
  <c r="AB453" i="17" s="1"/>
  <c r="P517" i="17"/>
  <c r="AB517" i="17" s="1"/>
  <c r="P480" i="17"/>
  <c r="AB480" i="17" s="1"/>
  <c r="P542" i="17"/>
  <c r="AB542" i="17" s="1"/>
  <c r="P575" i="17"/>
  <c r="AB575" i="17" s="1"/>
  <c r="P533" i="17"/>
  <c r="AB533" i="17" s="1"/>
  <c r="P595" i="17"/>
  <c r="AB595" i="17" s="1"/>
  <c r="P608" i="17"/>
  <c r="AB608" i="17" s="1"/>
  <c r="P150" i="17"/>
  <c r="AB150" i="17" s="1"/>
  <c r="P214" i="17"/>
  <c r="AB214" i="17" s="1"/>
  <c r="P278" i="17"/>
  <c r="AB278" i="17" s="1"/>
  <c r="P137" i="17"/>
  <c r="AB137" i="17" s="1"/>
  <c r="P201" i="17"/>
  <c r="AB201" i="17" s="1"/>
  <c r="P265" i="17"/>
  <c r="AB265" i="17" s="1"/>
  <c r="P362" i="17"/>
  <c r="AB362" i="17" s="1"/>
  <c r="P355" i="17"/>
  <c r="AB355" i="17" s="1"/>
  <c r="P451" i="17"/>
  <c r="AB451" i="17" s="1"/>
  <c r="P515" i="17"/>
  <c r="AB515" i="17" s="1"/>
  <c r="P478" i="17"/>
  <c r="AB478" i="17" s="1"/>
  <c r="P540" i="17"/>
  <c r="AB540" i="17" s="1"/>
  <c r="P531" i="17"/>
  <c r="AB531" i="17" s="1"/>
  <c r="P594" i="17"/>
  <c r="AB594" i="17" s="1"/>
  <c r="P606" i="17"/>
  <c r="AB606" i="17" s="1"/>
  <c r="P252" i="17"/>
  <c r="AB252" i="17" s="1"/>
  <c r="P164" i="17"/>
  <c r="AB164" i="17" s="1"/>
  <c r="P144" i="17"/>
  <c r="AB144" i="17" s="1"/>
  <c r="P208" i="17"/>
  <c r="AB208" i="17" s="1"/>
  <c r="P272" i="17"/>
  <c r="AB272" i="17" s="1"/>
  <c r="P131" i="17"/>
  <c r="AB131" i="17" s="1"/>
  <c r="P195" i="17"/>
  <c r="AB195" i="17" s="1"/>
  <c r="P259" i="17"/>
  <c r="AB259" i="17" s="1"/>
  <c r="P356" i="17"/>
  <c r="AB356" i="17" s="1"/>
  <c r="P349" i="17"/>
  <c r="AB349" i="17" s="1"/>
  <c r="P413" i="17"/>
  <c r="AB413" i="17" s="1"/>
  <c r="P445" i="17"/>
  <c r="AB445" i="17" s="1"/>
  <c r="P509" i="17"/>
  <c r="AB509" i="17" s="1"/>
  <c r="P472" i="17"/>
  <c r="AB472" i="17" s="1"/>
  <c r="P534" i="17"/>
  <c r="AB534" i="17" s="1"/>
  <c r="P567" i="17"/>
  <c r="AB567" i="17" s="1"/>
  <c r="P525" i="17"/>
  <c r="AB525" i="17" s="1"/>
  <c r="P588" i="17"/>
  <c r="AB588" i="17" s="1"/>
  <c r="P600" i="17"/>
  <c r="AB600" i="17" s="1"/>
  <c r="P142" i="17"/>
  <c r="AB142" i="17" s="1"/>
  <c r="P206" i="17"/>
  <c r="AB206" i="17" s="1"/>
  <c r="P270" i="17"/>
  <c r="AB270" i="17" s="1"/>
  <c r="P129" i="17"/>
  <c r="AB129" i="17" s="1"/>
  <c r="P193" i="17"/>
  <c r="AB193" i="17" s="1"/>
  <c r="P257" i="17"/>
  <c r="AB257" i="17" s="1"/>
  <c r="P354" i="17"/>
  <c r="AB354" i="17" s="1"/>
  <c r="P347" i="17"/>
  <c r="AB347" i="17" s="1"/>
  <c r="P411" i="17"/>
  <c r="AB411" i="17" s="1"/>
  <c r="P443" i="17"/>
  <c r="AB443" i="17" s="1"/>
  <c r="P507" i="17"/>
  <c r="AB507" i="17" s="1"/>
  <c r="P470" i="17"/>
  <c r="AB470" i="17" s="1"/>
  <c r="P532" i="17"/>
  <c r="AB532" i="17" s="1"/>
  <c r="P523" i="17"/>
  <c r="AB523" i="17" s="1"/>
  <c r="P586" i="17"/>
  <c r="AB586" i="17" s="1"/>
  <c r="P598" i="17"/>
  <c r="AB598" i="17" s="1"/>
  <c r="P228" i="17"/>
  <c r="AB228" i="17" s="1"/>
  <c r="P104" i="17"/>
  <c r="AB104" i="17" s="1"/>
  <c r="P168" i="17"/>
  <c r="AB168" i="17" s="1"/>
  <c r="P232" i="17"/>
  <c r="AB232" i="17" s="1"/>
  <c r="P296" i="17"/>
  <c r="AB296" i="17" s="1"/>
  <c r="P155" i="17"/>
  <c r="AB155" i="17" s="1"/>
  <c r="P219" i="17"/>
  <c r="AB219" i="17" s="1"/>
  <c r="P283" i="17"/>
  <c r="AB283" i="17" s="1"/>
  <c r="P316" i="17"/>
  <c r="AB316" i="17" s="1"/>
  <c r="P380" i="17"/>
  <c r="AB380" i="17" s="1"/>
  <c r="P373" i="17"/>
  <c r="AB373" i="17" s="1"/>
  <c r="P469" i="17"/>
  <c r="AB469" i="17" s="1"/>
  <c r="P432" i="17"/>
  <c r="AB432" i="17" s="1"/>
  <c r="P496" i="17"/>
  <c r="AB496" i="17" s="1"/>
  <c r="P591" i="17"/>
  <c r="AB591" i="17" s="1"/>
  <c r="P548" i="17"/>
  <c r="AB548" i="17" s="1"/>
  <c r="P611" i="17"/>
  <c r="AB611" i="17" s="1"/>
  <c r="P102" i="17"/>
  <c r="AB102" i="17" s="1"/>
  <c r="P166" i="17"/>
  <c r="AB166" i="17" s="1"/>
  <c r="P230" i="17"/>
  <c r="AB230" i="17" s="1"/>
  <c r="P294" i="17"/>
  <c r="AB294" i="17" s="1"/>
  <c r="P153" i="17"/>
  <c r="AB153" i="17" s="1"/>
  <c r="P217" i="17"/>
  <c r="AB217" i="17" s="1"/>
  <c r="P281" i="17"/>
  <c r="AB281" i="17" s="1"/>
  <c r="P378" i="17"/>
  <c r="AB378" i="17" s="1"/>
  <c r="P371" i="17"/>
  <c r="AB371" i="17" s="1"/>
  <c r="P467" i="17"/>
  <c r="AB467" i="17" s="1"/>
  <c r="P430" i="17"/>
  <c r="AB430" i="17" s="1"/>
  <c r="P494" i="17"/>
  <c r="AB494" i="17" s="1"/>
  <c r="P557" i="17"/>
  <c r="AB557" i="17" s="1"/>
  <c r="P546" i="17"/>
  <c r="AB546" i="17" s="1"/>
  <c r="P609" i="17"/>
  <c r="AB609" i="17" s="1"/>
  <c r="P188" i="17"/>
  <c r="AB188" i="17" s="1"/>
  <c r="P268" i="17"/>
  <c r="AB268" i="17" s="1"/>
  <c r="P127" i="17"/>
  <c r="AB127" i="17" s="1"/>
  <c r="P191" i="17"/>
  <c r="AB191" i="17" s="1"/>
  <c r="P255" i="17"/>
  <c r="AB255" i="17" s="1"/>
  <c r="P352" i="17"/>
  <c r="AB352" i="17" s="1"/>
  <c r="P416" i="17"/>
  <c r="AB416" i="17" s="1"/>
  <c r="P345" i="17"/>
  <c r="AB345" i="17" s="1"/>
  <c r="P409" i="17"/>
  <c r="AB409" i="17" s="1"/>
  <c r="P441" i="17"/>
  <c r="AB441" i="17" s="1"/>
  <c r="P505" i="17"/>
  <c r="AB505" i="17" s="1"/>
  <c r="P436" i="17"/>
  <c r="AB436" i="17" s="1"/>
  <c r="P500" i="17"/>
  <c r="AB500" i="17" s="1"/>
  <c r="P552" i="17"/>
  <c r="AB552" i="17" s="1"/>
  <c r="P106" i="17"/>
  <c r="AB106" i="17" s="1"/>
  <c r="P170" i="17"/>
  <c r="AB170" i="17" s="1"/>
  <c r="P234" i="17"/>
  <c r="AB234" i="17" s="1"/>
  <c r="P298" i="17"/>
  <c r="AB298" i="17" s="1"/>
  <c r="P157" i="17"/>
  <c r="AB157" i="17" s="1"/>
  <c r="P221" i="17"/>
  <c r="AB221" i="17" s="1"/>
  <c r="P285" i="17"/>
  <c r="AB285" i="17" s="1"/>
  <c r="P318" i="17"/>
  <c r="AB318" i="17" s="1"/>
  <c r="P382" i="17"/>
  <c r="AB382" i="17" s="1"/>
  <c r="P375" i="17"/>
  <c r="AB375" i="17" s="1"/>
  <c r="P471" i="17"/>
  <c r="AB471" i="17" s="1"/>
  <c r="P434" i="17"/>
  <c r="AB434" i="17" s="1"/>
  <c r="P498" i="17"/>
  <c r="AB498" i="17" s="1"/>
  <c r="P561" i="17"/>
  <c r="AB561" i="17" s="1"/>
  <c r="P550" i="17"/>
  <c r="AB550" i="17" s="1"/>
  <c r="P613" i="17"/>
  <c r="AB613" i="17" s="1"/>
  <c r="P207" i="17"/>
  <c r="AB207" i="17" s="1"/>
  <c r="P368" i="17"/>
  <c r="AB368" i="17" s="1"/>
  <c r="P457" i="17"/>
  <c r="AB457" i="17" s="1"/>
  <c r="P516" i="17"/>
  <c r="AB516" i="17" s="1"/>
  <c r="P547" i="17"/>
  <c r="AB547" i="17" s="1"/>
  <c r="P122" i="17"/>
  <c r="AB122" i="17" s="1"/>
  <c r="P186" i="17"/>
  <c r="AB186" i="17" s="1"/>
  <c r="P250" i="17"/>
  <c r="AB250" i="17" s="1"/>
  <c r="P314" i="17"/>
  <c r="AB314" i="17" s="1"/>
  <c r="P173" i="17"/>
  <c r="AB173" i="17" s="1"/>
  <c r="P237" i="17"/>
  <c r="AB237" i="17" s="1"/>
  <c r="P301" i="17"/>
  <c r="AB301" i="17" s="1"/>
  <c r="P334" i="17"/>
  <c r="AB334" i="17" s="1"/>
  <c r="P359" i="17"/>
  <c r="AB359" i="17" s="1"/>
  <c r="P487" i="17"/>
  <c r="AB487" i="17" s="1"/>
  <c r="P514" i="17"/>
  <c r="AB514" i="17" s="1"/>
  <c r="P566" i="17"/>
  <c r="AB566" i="17" s="1"/>
  <c r="P610" i="17"/>
  <c r="AB610" i="17" s="1"/>
  <c r="P244" i="17"/>
  <c r="AB244" i="17" s="1"/>
  <c r="P140" i="17"/>
  <c r="AB140" i="17" s="1"/>
  <c r="P120" i="17"/>
  <c r="AB120" i="17" s="1"/>
  <c r="P184" i="17"/>
  <c r="AB184" i="17" s="1"/>
  <c r="P248" i="17"/>
  <c r="AB248" i="17" s="1"/>
  <c r="P312" i="17"/>
  <c r="AB312" i="17" s="1"/>
  <c r="P171" i="17"/>
  <c r="AB171" i="17" s="1"/>
  <c r="P235" i="17"/>
  <c r="AB235" i="17" s="1"/>
  <c r="P299" i="17"/>
  <c r="AB299" i="17" s="1"/>
  <c r="P332" i="17"/>
  <c r="AB332" i="17" s="1"/>
  <c r="P396" i="17"/>
  <c r="AB396" i="17" s="1"/>
  <c r="P325" i="17"/>
  <c r="AB325" i="17" s="1"/>
  <c r="P389" i="17"/>
  <c r="AB389" i="17" s="1"/>
  <c r="P421" i="17"/>
  <c r="AB421" i="17" s="1"/>
  <c r="P485" i="17"/>
  <c r="AB485" i="17" s="1"/>
  <c r="P448" i="17"/>
  <c r="AB448" i="17" s="1"/>
  <c r="P512" i="17"/>
  <c r="AB512" i="17" s="1"/>
  <c r="P564" i="17"/>
  <c r="AB564" i="17" s="1"/>
  <c r="P118" i="17"/>
  <c r="AB118" i="17" s="1"/>
  <c r="P182" i="17"/>
  <c r="AB182" i="17" s="1"/>
  <c r="P246" i="17"/>
  <c r="AB246" i="17" s="1"/>
  <c r="P310" i="17"/>
  <c r="AB310" i="17" s="1"/>
  <c r="P169" i="17"/>
  <c r="AB169" i="17" s="1"/>
  <c r="P233" i="17"/>
  <c r="AB233" i="17" s="1"/>
  <c r="P297" i="17"/>
  <c r="AB297" i="17" s="1"/>
  <c r="P330" i="17"/>
  <c r="AB330" i="17" s="1"/>
  <c r="P394" i="17"/>
  <c r="AB394" i="17" s="1"/>
  <c r="P323" i="17"/>
  <c r="AB323" i="17" s="1"/>
  <c r="P387" i="17"/>
  <c r="AB387" i="17" s="1"/>
  <c r="P419" i="17"/>
  <c r="AB419" i="17" s="1"/>
  <c r="P483" i="17"/>
  <c r="AB483" i="17" s="1"/>
  <c r="P446" i="17"/>
  <c r="AB446" i="17" s="1"/>
  <c r="P510" i="17"/>
  <c r="AB510" i="17" s="1"/>
  <c r="P562" i="17"/>
  <c r="AB562" i="17" s="1"/>
  <c r="P204" i="17"/>
  <c r="AB204" i="17" s="1"/>
  <c r="P284" i="17"/>
  <c r="AB284" i="17" s="1"/>
  <c r="P112" i="17"/>
  <c r="AB112" i="17" s="1"/>
  <c r="P176" i="17"/>
  <c r="AB176" i="17" s="1"/>
  <c r="P240" i="17"/>
  <c r="AB240" i="17" s="1"/>
  <c r="P304" i="17"/>
  <c r="AB304" i="17" s="1"/>
  <c r="P163" i="17"/>
  <c r="AB163" i="17" s="1"/>
  <c r="P227" i="17"/>
  <c r="AB227" i="17" s="1"/>
  <c r="P291" i="17"/>
  <c r="AB291" i="17" s="1"/>
  <c r="P324" i="17"/>
  <c r="AB324" i="17" s="1"/>
  <c r="P388" i="17"/>
  <c r="AB388" i="17" s="1"/>
  <c r="P317" i="17"/>
  <c r="AB317" i="17" s="1"/>
  <c r="P381" i="17"/>
  <c r="AB381" i="17" s="1"/>
  <c r="P477" i="17"/>
  <c r="AB477" i="17" s="1"/>
  <c r="P440" i="17"/>
  <c r="AB440" i="17" s="1"/>
  <c r="P504" i="17"/>
  <c r="AB504" i="17" s="1"/>
  <c r="P556" i="17"/>
  <c r="AB556" i="17" s="1"/>
  <c r="P110" i="17"/>
  <c r="AB110" i="17" s="1"/>
  <c r="P174" i="17"/>
  <c r="AB174" i="17" s="1"/>
  <c r="P238" i="17"/>
  <c r="AB238" i="17" s="1"/>
  <c r="P302" i="17"/>
  <c r="AB302" i="17" s="1"/>
  <c r="P161" i="17"/>
  <c r="AB161" i="17" s="1"/>
  <c r="P225" i="17"/>
  <c r="AB225" i="17" s="1"/>
  <c r="P289" i="17"/>
  <c r="AB289" i="17" s="1"/>
  <c r="P322" i="17"/>
  <c r="AB322" i="17" s="1"/>
  <c r="P386" i="17"/>
  <c r="AB386" i="17" s="1"/>
  <c r="P315" i="17"/>
  <c r="AB315" i="17" s="1"/>
  <c r="P379" i="17"/>
  <c r="AB379" i="17" s="1"/>
  <c r="P475" i="17"/>
  <c r="AB475" i="17" s="1"/>
  <c r="P438" i="17"/>
  <c r="AB438" i="17" s="1"/>
  <c r="P502" i="17"/>
  <c r="AB502" i="17" s="1"/>
  <c r="P565" i="17"/>
  <c r="AB565" i="17" s="1"/>
  <c r="P554" i="17"/>
  <c r="AB554" i="17" s="1"/>
  <c r="P196" i="17"/>
  <c r="AB196" i="17" s="1"/>
  <c r="P260" i="17"/>
  <c r="AB260" i="17" s="1"/>
  <c r="P156" i="17"/>
  <c r="AB156" i="17" s="1"/>
  <c r="P136" i="17"/>
  <c r="AB136" i="17" s="1"/>
  <c r="P200" i="17"/>
  <c r="AB200" i="17" s="1"/>
  <c r="P264" i="17"/>
  <c r="AB264" i="17" s="1"/>
  <c r="P123" i="17"/>
  <c r="AB123" i="17" s="1"/>
  <c r="P187" i="17"/>
  <c r="AB187" i="17" s="1"/>
  <c r="P251" i="17"/>
  <c r="AB251" i="17" s="1"/>
  <c r="P348" i="17"/>
  <c r="AB348" i="17" s="1"/>
  <c r="P412" i="17"/>
  <c r="AB412" i="17" s="1"/>
  <c r="P341" i="17"/>
  <c r="AB341" i="17" s="1"/>
  <c r="P405" i="17"/>
  <c r="AB405" i="17" s="1"/>
  <c r="P437" i="17"/>
  <c r="AB437" i="17" s="1"/>
  <c r="P501" i="17"/>
  <c r="AB501" i="17" s="1"/>
  <c r="P464" i="17"/>
  <c r="AB464" i="17" s="1"/>
  <c r="P526" i="17"/>
  <c r="AB526" i="17" s="1"/>
  <c r="P559" i="17"/>
  <c r="AB559" i="17" s="1"/>
  <c r="P580" i="17"/>
  <c r="AB580" i="17" s="1"/>
  <c r="P134" i="17"/>
  <c r="AB134" i="17" s="1"/>
  <c r="P198" i="17"/>
  <c r="AB198" i="17" s="1"/>
  <c r="P262" i="17"/>
  <c r="AB262" i="17" s="1"/>
  <c r="P121" i="17"/>
  <c r="AB121" i="17" s="1"/>
  <c r="P185" i="17"/>
  <c r="AB185" i="17" s="1"/>
  <c r="P249" i="17"/>
  <c r="AB249" i="17" s="1"/>
  <c r="P313" i="17"/>
  <c r="AB313" i="17" s="1"/>
  <c r="P346" i="17"/>
  <c r="AB346" i="17" s="1"/>
  <c r="P410" i="17"/>
  <c r="AB410" i="17" s="1"/>
  <c r="P339" i="17"/>
  <c r="AB339" i="17" s="1"/>
  <c r="P403" i="17"/>
  <c r="AB403" i="17" s="1"/>
  <c r="P435" i="17"/>
  <c r="AB435" i="17" s="1"/>
  <c r="P499" i="17"/>
  <c r="AB499" i="17" s="1"/>
  <c r="P462" i="17"/>
  <c r="AB462" i="17" s="1"/>
  <c r="P524" i="17"/>
  <c r="AB524" i="17" s="1"/>
  <c r="P589" i="17"/>
  <c r="AB589" i="17" s="1"/>
  <c r="P578" i="17"/>
  <c r="AB578" i="17" s="1"/>
  <c r="P220" i="17"/>
  <c r="AB220" i="17" s="1"/>
  <c r="P300" i="17"/>
  <c r="AB300" i="17" s="1"/>
  <c r="P159" i="17"/>
  <c r="AB159" i="17" s="1"/>
  <c r="P223" i="17"/>
  <c r="AB223" i="17" s="1"/>
  <c r="P287" i="17"/>
  <c r="AB287" i="17" s="1"/>
  <c r="P320" i="17"/>
  <c r="AB320" i="17" s="1"/>
  <c r="P384" i="17"/>
  <c r="AB384" i="17" s="1"/>
  <c r="P377" i="17"/>
  <c r="AB377" i="17" s="1"/>
  <c r="P473" i="17"/>
  <c r="AB473" i="17" s="1"/>
  <c r="P468" i="17"/>
  <c r="AB468" i="17" s="1"/>
  <c r="P530" i="17"/>
  <c r="AB530" i="17" s="1"/>
  <c r="P563" i="17"/>
  <c r="AB563" i="17" s="1"/>
  <c r="P521" i="17"/>
  <c r="AB521" i="17" s="1"/>
  <c r="P584" i="17"/>
  <c r="AB584" i="17" s="1"/>
  <c r="P596" i="17"/>
  <c r="AB596" i="17" s="1"/>
  <c r="P138" i="17"/>
  <c r="AB138" i="17" s="1"/>
  <c r="P202" i="17"/>
  <c r="AB202" i="17" s="1"/>
  <c r="P266" i="17"/>
  <c r="AB266" i="17" s="1"/>
  <c r="P125" i="17"/>
  <c r="AB125" i="17" s="1"/>
  <c r="P189" i="17"/>
  <c r="AB189" i="17" s="1"/>
  <c r="P253" i="17"/>
  <c r="AB253" i="17" s="1"/>
  <c r="P350" i="17"/>
  <c r="AB350" i="17" s="1"/>
  <c r="P414" i="17"/>
  <c r="AB414" i="17" s="1"/>
  <c r="P343" i="17"/>
  <c r="AB343" i="17" s="1"/>
  <c r="P407" i="17"/>
  <c r="AB407" i="17" s="1"/>
  <c r="P439" i="17"/>
  <c r="AB439" i="17" s="1"/>
  <c r="P503" i="17"/>
  <c r="AB503" i="17" s="1"/>
  <c r="P466" i="17"/>
  <c r="AB466" i="17" s="1"/>
  <c r="P528" i="17"/>
  <c r="AB528" i="17" s="1"/>
  <c r="P593" i="17"/>
  <c r="AB593" i="17" s="1"/>
  <c r="P582" i="17"/>
  <c r="AB582" i="17" s="1"/>
  <c r="P143" i="17"/>
  <c r="AB143" i="17" s="1"/>
  <c r="P271" i="17"/>
  <c r="AB271" i="17" s="1"/>
  <c r="P336" i="17"/>
  <c r="AB336" i="17" s="1"/>
  <c r="P400" i="17"/>
  <c r="AB400" i="17" s="1"/>
  <c r="P361" i="17"/>
  <c r="AB361" i="17" s="1"/>
  <c r="P425" i="17"/>
  <c r="AB425" i="17" s="1"/>
  <c r="P489" i="17"/>
  <c r="AB489" i="17" s="1"/>
  <c r="P452" i="17"/>
  <c r="AB452" i="17" s="1"/>
  <c r="P579" i="17"/>
  <c r="AB579" i="17" s="1"/>
  <c r="P568" i="17"/>
  <c r="AB568" i="17" s="1"/>
  <c r="P612" i="17"/>
  <c r="AB612" i="17" s="1"/>
  <c r="P154" i="17"/>
  <c r="AB154" i="17" s="1"/>
  <c r="P218" i="17"/>
  <c r="AB218" i="17" s="1"/>
  <c r="P282" i="17"/>
  <c r="AB282" i="17" s="1"/>
  <c r="P141" i="17"/>
  <c r="AB141" i="17" s="1"/>
  <c r="P205" i="17"/>
  <c r="AB205" i="17" s="1"/>
  <c r="P269" i="17"/>
  <c r="AB269" i="17" s="1"/>
  <c r="P398" i="17"/>
  <c r="AB398" i="17" s="1"/>
  <c r="P327" i="17"/>
  <c r="AB327" i="17" s="1"/>
  <c r="P391" i="17"/>
  <c r="AB391" i="17" s="1"/>
  <c r="P423" i="17"/>
  <c r="AB423" i="17" s="1"/>
  <c r="P450" i="17"/>
  <c r="AB450" i="17" s="1"/>
  <c r="P577" i="17"/>
  <c r="AB577" i="17" s="1"/>
  <c r="P276" i="17"/>
  <c r="AB276" i="17" s="1"/>
  <c r="P135" i="17"/>
  <c r="AB135" i="17" s="1"/>
  <c r="P199" i="17"/>
  <c r="AB199" i="17" s="1"/>
  <c r="P263" i="17"/>
  <c r="AB263" i="17" s="1"/>
  <c r="P360" i="17"/>
  <c r="AB360" i="17" s="1"/>
  <c r="P111" i="17"/>
  <c r="AB111" i="17" s="1"/>
  <c r="P239" i="17"/>
  <c r="AB239" i="17" s="1"/>
  <c r="P329" i="17"/>
  <c r="AB329" i="17" s="1"/>
  <c r="P420" i="17"/>
  <c r="AB420" i="17" s="1"/>
  <c r="P537" i="17"/>
  <c r="AB537" i="17" s="1"/>
  <c r="P366" i="17"/>
  <c r="AB366" i="17" s="1"/>
  <c r="P418" i="17"/>
  <c r="AB418" i="17" s="1"/>
  <c r="P545" i="17"/>
  <c r="AB545" i="17" s="1"/>
  <c r="P597" i="17"/>
  <c r="AB597" i="17" s="1"/>
  <c r="P292" i="17"/>
  <c r="AB292" i="17" s="1"/>
  <c r="P151" i="17"/>
  <c r="AB151" i="17" s="1"/>
  <c r="P215" i="17"/>
  <c r="AB215" i="17" s="1"/>
  <c r="P279" i="17"/>
  <c r="AB279" i="17" s="1"/>
  <c r="P376" i="17"/>
  <c r="AB376" i="17" s="1"/>
  <c r="P369" i="17"/>
  <c r="AB369" i="17" s="1"/>
  <c r="P465" i="17"/>
  <c r="AB465" i="17" s="1"/>
  <c r="P460" i="17"/>
  <c r="AB460" i="17" s="1"/>
  <c r="P353" i="17"/>
  <c r="AB353" i="17" s="1"/>
  <c r="P417" i="17"/>
  <c r="AB417" i="17" s="1"/>
  <c r="P481" i="17"/>
  <c r="AB481" i="17" s="1"/>
  <c r="P508" i="17"/>
  <c r="AB508" i="17" s="1"/>
  <c r="P560" i="17"/>
  <c r="AB560" i="17" s="1"/>
  <c r="P114" i="17"/>
  <c r="AB114" i="17" s="1"/>
  <c r="P178" i="17"/>
  <c r="AB178" i="17" s="1"/>
  <c r="P242" i="17"/>
  <c r="AB242" i="17" s="1"/>
  <c r="P306" i="17"/>
  <c r="AB306" i="17" s="1"/>
  <c r="P165" i="17"/>
  <c r="AB165" i="17" s="1"/>
  <c r="P229" i="17"/>
  <c r="AB229" i="17" s="1"/>
  <c r="P293" i="17"/>
  <c r="AB293" i="17" s="1"/>
  <c r="P326" i="17"/>
  <c r="AB326" i="17" s="1"/>
  <c r="P390" i="17"/>
  <c r="AB390" i="17" s="1"/>
  <c r="P319" i="17"/>
  <c r="AB319" i="17" s="1"/>
  <c r="P383" i="17"/>
  <c r="AB383" i="17" s="1"/>
  <c r="P479" i="17"/>
  <c r="AB479" i="17" s="1"/>
  <c r="P442" i="17"/>
  <c r="AB442" i="17" s="1"/>
  <c r="P506" i="17"/>
  <c r="AB506" i="17" s="1"/>
  <c r="P569" i="17"/>
  <c r="AB569" i="17" s="1"/>
  <c r="P558" i="17"/>
  <c r="AB558" i="17" s="1"/>
  <c r="P308" i="17"/>
  <c r="AB308" i="17" s="1"/>
  <c r="P167" i="17"/>
  <c r="AB167" i="17" s="1"/>
  <c r="P231" i="17"/>
  <c r="AB231" i="17" s="1"/>
  <c r="P295" i="17"/>
  <c r="AB295" i="17" s="1"/>
  <c r="P328" i="17"/>
  <c r="AB328" i="17" s="1"/>
  <c r="P392" i="17"/>
  <c r="AB392" i="17" s="1"/>
  <c r="P321" i="17"/>
  <c r="AB321" i="17" s="1"/>
  <c r="P175" i="17"/>
  <c r="AB175" i="17" s="1"/>
  <c r="P303" i="17"/>
  <c r="AB303" i="17" s="1"/>
  <c r="P393" i="17"/>
  <c r="AB393" i="17" s="1"/>
  <c r="P484" i="17"/>
  <c r="AB484" i="17" s="1"/>
  <c r="P599" i="17"/>
  <c r="AB599" i="17" s="1"/>
  <c r="P455" i="17"/>
  <c r="AB455" i="17" s="1"/>
  <c r="P482" i="17"/>
  <c r="AB482" i="17" s="1"/>
  <c r="P535" i="17"/>
  <c r="AB535" i="17" s="1"/>
  <c r="P236" i="17"/>
  <c r="AB236" i="17" s="1"/>
  <c r="P119" i="17"/>
  <c r="AB119" i="17" s="1"/>
  <c r="P183" i="17"/>
  <c r="AB183" i="17" s="1"/>
  <c r="P247" i="17"/>
  <c r="AB247" i="17" s="1"/>
  <c r="P311" i="17"/>
  <c r="AB311" i="17" s="1"/>
  <c r="P344" i="17"/>
  <c r="AB344" i="17" s="1"/>
  <c r="P408" i="17"/>
  <c r="AB408" i="17" s="1"/>
  <c r="P337" i="17"/>
  <c r="AB337" i="17" s="1"/>
  <c r="P401" i="17"/>
  <c r="AB401" i="17" s="1"/>
  <c r="P433" i="17"/>
  <c r="AB433" i="17" s="1"/>
  <c r="P497" i="17"/>
  <c r="AB497" i="17" s="1"/>
  <c r="P428" i="17"/>
  <c r="AB428" i="17" s="1"/>
  <c r="P492" i="17"/>
  <c r="AB492" i="17" s="1"/>
  <c r="P449" i="17"/>
  <c r="AB449" i="17" s="1"/>
  <c r="P513" i="17"/>
  <c r="AB513" i="17" s="1"/>
  <c r="P444" i="17"/>
  <c r="AB444" i="17" s="1"/>
  <c r="P538" i="17"/>
  <c r="AB538" i="17" s="1"/>
  <c r="P571" i="17"/>
  <c r="AB571" i="17" s="1"/>
  <c r="P529" i="17"/>
  <c r="AB529" i="17" s="1"/>
  <c r="P592" i="17"/>
  <c r="AB592" i="17" s="1"/>
  <c r="P604" i="17"/>
  <c r="AB604" i="17" s="1"/>
  <c r="P146" i="17"/>
  <c r="AB146" i="17" s="1"/>
  <c r="P210" i="17"/>
  <c r="AB210" i="17" s="1"/>
  <c r="P274" i="17"/>
  <c r="AB274" i="17" s="1"/>
  <c r="P133" i="17"/>
  <c r="AB133" i="17" s="1"/>
  <c r="P197" i="17"/>
  <c r="AB197" i="17" s="1"/>
  <c r="P261" i="17"/>
  <c r="AB261" i="17" s="1"/>
  <c r="P358" i="17"/>
  <c r="AB358" i="17" s="1"/>
  <c r="P351" i="17"/>
  <c r="AB351" i="17" s="1"/>
  <c r="P415" i="17"/>
  <c r="AB415" i="17" s="1"/>
  <c r="P447" i="17"/>
  <c r="AB447" i="17" s="1"/>
  <c r="P511" i="17"/>
  <c r="AB511" i="17" s="1"/>
  <c r="P474" i="17"/>
  <c r="AB474" i="17" s="1"/>
  <c r="P536" i="17"/>
  <c r="AB536" i="17" s="1"/>
  <c r="P527" i="17"/>
  <c r="AB527" i="17" s="1"/>
  <c r="P590" i="17"/>
  <c r="AB590" i="17" s="1"/>
  <c r="P602" i="17"/>
  <c r="AB602" i="17" s="1"/>
  <c r="P476" i="17"/>
  <c r="AB476" i="17" s="1"/>
  <c r="P587" i="17"/>
  <c r="AB587" i="17" s="1"/>
  <c r="P544" i="17"/>
  <c r="AB544" i="17" s="1"/>
  <c r="P607" i="17"/>
  <c r="AB607" i="17" s="1"/>
  <c r="P98" i="17"/>
  <c r="AB98" i="17" s="1"/>
  <c r="P162" i="17"/>
  <c r="AB162" i="17" s="1"/>
  <c r="P226" i="17"/>
  <c r="AB226" i="17" s="1"/>
  <c r="P290" i="17"/>
  <c r="AB290" i="17" s="1"/>
  <c r="P149" i="17"/>
  <c r="AB149" i="17" s="1"/>
  <c r="P213" i="17"/>
  <c r="AB213" i="17" s="1"/>
  <c r="P277" i="17"/>
  <c r="AB277" i="17" s="1"/>
  <c r="P374" i="17"/>
  <c r="AB374" i="17" s="1"/>
  <c r="P367" i="17"/>
  <c r="AB367" i="17" s="1"/>
  <c r="P463" i="17"/>
  <c r="AB463" i="17" s="1"/>
  <c r="P426" i="17"/>
  <c r="AB426" i="17" s="1"/>
  <c r="P490" i="17"/>
  <c r="AB490" i="17" s="1"/>
  <c r="P553" i="17"/>
  <c r="AB553" i="17" s="1"/>
  <c r="P543" i="17"/>
  <c r="AB543" i="17" s="1"/>
  <c r="P605" i="17"/>
  <c r="AB605" i="17" s="1"/>
  <c r="P385" i="17"/>
  <c r="AB385" i="17" s="1"/>
  <c r="P522" i="17"/>
  <c r="AB522" i="17" s="1"/>
  <c r="P555" i="17"/>
  <c r="AB555" i="17" s="1"/>
  <c r="P576" i="17"/>
  <c r="AB576" i="17" s="1"/>
  <c r="P130" i="17"/>
  <c r="AB130" i="17" s="1"/>
  <c r="P194" i="17"/>
  <c r="AB194" i="17" s="1"/>
  <c r="P258" i="17"/>
  <c r="AB258" i="17" s="1"/>
  <c r="P117" i="17"/>
  <c r="AB117" i="17" s="1"/>
  <c r="P181" i="17"/>
  <c r="AB181" i="17" s="1"/>
  <c r="P245" i="17"/>
  <c r="AB245" i="17" s="1"/>
  <c r="P309" i="17"/>
  <c r="AB309" i="17" s="1"/>
  <c r="P342" i="17"/>
  <c r="AB342" i="17" s="1"/>
  <c r="P406" i="17"/>
  <c r="AB406" i="17" s="1"/>
  <c r="P335" i="17"/>
  <c r="AB335" i="17" s="1"/>
  <c r="P399" i="17"/>
  <c r="AB399" i="17" s="1"/>
  <c r="P431" i="17"/>
  <c r="AB431" i="17" s="1"/>
  <c r="P495" i="17"/>
  <c r="AB495" i="17" s="1"/>
  <c r="P458" i="17"/>
  <c r="AB458" i="17" s="1"/>
  <c r="P520" i="17"/>
  <c r="AB520" i="17" s="1"/>
  <c r="P585" i="17"/>
  <c r="AB585" i="17" s="1"/>
  <c r="P574" i="17"/>
  <c r="AB574" i="17" s="1"/>
  <c r="O13" i="17"/>
  <c r="AA13" i="17" s="1"/>
  <c r="E633" i="17"/>
  <c r="AB628" i="17" l="1"/>
  <c r="A336" i="2"/>
  <c r="B336" i="2"/>
  <c r="C62" i="16"/>
  <c r="D62" i="16" s="1"/>
  <c r="B230" i="2"/>
  <c r="B71" i="1" l="1"/>
  <c r="AA628" i="17"/>
  <c r="A353" i="2"/>
  <c r="B353" i="2"/>
  <c r="C3" i="8" l="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O31" i="8" s="1"/>
  <c r="C71" i="1" s="1"/>
  <c r="O32" i="8"/>
  <c r="C72" i="1" s="1"/>
  <c r="N32" i="8"/>
  <c r="N31" i="8" l="1"/>
  <c r="B231" i="2"/>
  <c r="B354" i="2" s="1"/>
  <c r="C46" i="16"/>
  <c r="D46" i="16" s="1"/>
  <c r="B219" i="2" l="1"/>
  <c r="A354" i="2"/>
  <c r="B232" i="2"/>
  <c r="C47" i="16"/>
  <c r="D47" i="16" s="1"/>
  <c r="B235" i="2"/>
  <c r="W625" i="25" l="1"/>
  <c r="L612" i="25"/>
  <c r="L610" i="25"/>
  <c r="K612" i="25"/>
  <c r="K610" i="25"/>
  <c r="C635" i="25"/>
  <c r="K613" i="25"/>
  <c r="K611" i="25"/>
  <c r="K609" i="25"/>
  <c r="K607" i="25"/>
  <c r="L611" i="25"/>
  <c r="L608" i="25"/>
  <c r="L607" i="25"/>
  <c r="K606" i="25"/>
  <c r="K604" i="25"/>
  <c r="K602" i="25"/>
  <c r="K600" i="25"/>
  <c r="K598" i="25"/>
  <c r="L613" i="25"/>
  <c r="K608" i="25"/>
  <c r="L605" i="25"/>
  <c r="L603" i="25"/>
  <c r="L601" i="25"/>
  <c r="L599" i="25"/>
  <c r="L597" i="25"/>
  <c r="L609" i="25"/>
  <c r="L606" i="25"/>
  <c r="L604" i="25"/>
  <c r="L602" i="25"/>
  <c r="L600" i="25"/>
  <c r="L598" i="25"/>
  <c r="L596" i="25"/>
  <c r="L594" i="25"/>
  <c r="L592" i="25"/>
  <c r="K605" i="25"/>
  <c r="K597" i="25"/>
  <c r="L591" i="25"/>
  <c r="L589" i="25"/>
  <c r="L587" i="25"/>
  <c r="L585" i="25"/>
  <c r="K599" i="25"/>
  <c r="K596" i="25"/>
  <c r="L595" i="25"/>
  <c r="K591" i="25"/>
  <c r="K589" i="25"/>
  <c r="K587" i="25"/>
  <c r="K585" i="25"/>
  <c r="A625" i="25"/>
  <c r="K603" i="25"/>
  <c r="K593" i="25"/>
  <c r="K592" i="25"/>
  <c r="K590" i="25"/>
  <c r="K588" i="25"/>
  <c r="K586" i="25"/>
  <c r="K584" i="25"/>
  <c r="K582" i="25"/>
  <c r="K580" i="25"/>
  <c r="K578" i="25"/>
  <c r="K601" i="25"/>
  <c r="K595" i="25"/>
  <c r="L593" i="25"/>
  <c r="L586" i="25"/>
  <c r="K581" i="25"/>
  <c r="L579" i="25"/>
  <c r="L578" i="25"/>
  <c r="K576" i="25"/>
  <c r="K574" i="25"/>
  <c r="K572" i="25"/>
  <c r="K570" i="25"/>
  <c r="K568" i="25"/>
  <c r="K566" i="25"/>
  <c r="K564" i="25"/>
  <c r="K562" i="25"/>
  <c r="K560" i="25"/>
  <c r="K558" i="25"/>
  <c r="K594" i="25"/>
  <c r="L588" i="25"/>
  <c r="K579" i="25"/>
  <c r="L577" i="25"/>
  <c r="L575" i="25"/>
  <c r="L573" i="25"/>
  <c r="L571" i="25"/>
  <c r="L569" i="25"/>
  <c r="L567" i="25"/>
  <c r="L565" i="25"/>
  <c r="L584" i="25"/>
  <c r="K583" i="25"/>
  <c r="L581" i="25"/>
  <c r="L580" i="25"/>
  <c r="L576" i="25"/>
  <c r="L574" i="25"/>
  <c r="L572" i="25"/>
  <c r="L570" i="25"/>
  <c r="L568" i="25"/>
  <c r="L566" i="25"/>
  <c r="L590" i="25"/>
  <c r="L583" i="25"/>
  <c r="K577" i="25"/>
  <c r="K569" i="25"/>
  <c r="K565" i="25"/>
  <c r="L564" i="25"/>
  <c r="K559" i="25"/>
  <c r="L557" i="25"/>
  <c r="K555" i="25"/>
  <c r="K553" i="25"/>
  <c r="K551" i="25"/>
  <c r="K549" i="25"/>
  <c r="K547" i="25"/>
  <c r="K545" i="25"/>
  <c r="K543" i="25"/>
  <c r="K541" i="25"/>
  <c r="K539" i="25"/>
  <c r="K537" i="25"/>
  <c r="K535" i="25"/>
  <c r="K533" i="25"/>
  <c r="K531" i="25"/>
  <c r="K529" i="25"/>
  <c r="K527" i="25"/>
  <c r="K525" i="25"/>
  <c r="K571" i="25"/>
  <c r="L563" i="25"/>
  <c r="L562" i="25"/>
  <c r="K557" i="25"/>
  <c r="L556" i="25"/>
  <c r="L554" i="25"/>
  <c r="L552" i="25"/>
  <c r="L550" i="25"/>
  <c r="L548" i="25"/>
  <c r="L546" i="25"/>
  <c r="L544" i="25"/>
  <c r="L542" i="25"/>
  <c r="L540" i="25"/>
  <c r="L582" i="25"/>
  <c r="K575" i="25"/>
  <c r="K567" i="25"/>
  <c r="K561" i="25"/>
  <c r="L559" i="25"/>
  <c r="L558" i="25"/>
  <c r="L555" i="25"/>
  <c r="L553" i="25"/>
  <c r="L551" i="25"/>
  <c r="L549" i="25"/>
  <c r="L547" i="25"/>
  <c r="L545" i="25"/>
  <c r="L543" i="25"/>
  <c r="L541" i="25"/>
  <c r="L539" i="25"/>
  <c r="K573" i="25"/>
  <c r="K550" i="25"/>
  <c r="K542" i="25"/>
  <c r="K538" i="25"/>
  <c r="L536" i="25"/>
  <c r="L535" i="25"/>
  <c r="K530" i="25"/>
  <c r="L528" i="25"/>
  <c r="L527" i="25"/>
  <c r="K552" i="25"/>
  <c r="K544" i="25"/>
  <c r="K536" i="25"/>
  <c r="L534" i="25"/>
  <c r="L533" i="25"/>
  <c r="K528" i="25"/>
  <c r="L526" i="25"/>
  <c r="L525" i="25"/>
  <c r="L561" i="25"/>
  <c r="K556" i="25"/>
  <c r="K548" i="25"/>
  <c r="K540" i="25"/>
  <c r="L538" i="25"/>
  <c r="L537" i="25"/>
  <c r="K532" i="25"/>
  <c r="L530" i="25"/>
  <c r="L529" i="25"/>
  <c r="K524" i="25"/>
  <c r="K522" i="25"/>
  <c r="K520" i="25"/>
  <c r="K518" i="25"/>
  <c r="K516" i="25"/>
  <c r="K514" i="25"/>
  <c r="K512" i="25"/>
  <c r="K563" i="25"/>
  <c r="K554" i="25"/>
  <c r="K534" i="25"/>
  <c r="L531" i="25"/>
  <c r="L523" i="25"/>
  <c r="L522" i="25"/>
  <c r="K517" i="25"/>
  <c r="L515" i="25"/>
  <c r="L514" i="25"/>
  <c r="K511" i="25"/>
  <c r="K509" i="25"/>
  <c r="K507" i="25"/>
  <c r="K505" i="25"/>
  <c r="K503" i="25"/>
  <c r="K501" i="25"/>
  <c r="K499" i="25"/>
  <c r="K497" i="25"/>
  <c r="K495" i="25"/>
  <c r="K493" i="25"/>
  <c r="K491" i="25"/>
  <c r="K489" i="25"/>
  <c r="K487" i="25"/>
  <c r="K485" i="25"/>
  <c r="K483" i="25"/>
  <c r="K481" i="25"/>
  <c r="K479" i="25"/>
  <c r="K477" i="25"/>
  <c r="K475" i="25"/>
  <c r="K473" i="25"/>
  <c r="K471" i="25"/>
  <c r="K469" i="25"/>
  <c r="K467" i="25"/>
  <c r="K465" i="25"/>
  <c r="L532" i="25"/>
  <c r="K526" i="25"/>
  <c r="K523" i="25"/>
  <c r="L521" i="25"/>
  <c r="L520" i="25"/>
  <c r="K515" i="25"/>
  <c r="L513" i="25"/>
  <c r="L512" i="25"/>
  <c r="L510" i="25"/>
  <c r="L508" i="25"/>
  <c r="L506" i="25"/>
  <c r="L504" i="25"/>
  <c r="L502" i="25"/>
  <c r="L500" i="25"/>
  <c r="L498" i="25"/>
  <c r="L496" i="25"/>
  <c r="L494" i="25"/>
  <c r="L492" i="25"/>
  <c r="L490" i="25"/>
  <c r="L488" i="25"/>
  <c r="L486" i="25"/>
  <c r="L484" i="25"/>
  <c r="L560" i="25"/>
  <c r="K546" i="25"/>
  <c r="K519" i="25"/>
  <c r="L517" i="25"/>
  <c r="L516" i="25"/>
  <c r="L511" i="25"/>
  <c r="L509" i="25"/>
  <c r="L507" i="25"/>
  <c r="L505" i="25"/>
  <c r="L503" i="25"/>
  <c r="L501" i="25"/>
  <c r="L499" i="25"/>
  <c r="L497" i="25"/>
  <c r="L495" i="25"/>
  <c r="L493" i="25"/>
  <c r="L491" i="25"/>
  <c r="L489" i="25"/>
  <c r="L487" i="25"/>
  <c r="L485" i="25"/>
  <c r="L519" i="25"/>
  <c r="K513" i="25"/>
  <c r="K510" i="25"/>
  <c r="K502" i="25"/>
  <c r="K494" i="25"/>
  <c r="K486" i="25"/>
  <c r="K482" i="25"/>
  <c r="L480" i="25"/>
  <c r="L479" i="25"/>
  <c r="K474" i="25"/>
  <c r="L472" i="25"/>
  <c r="L471" i="25"/>
  <c r="K466" i="25"/>
  <c r="L464" i="25"/>
  <c r="L462" i="25"/>
  <c r="L460" i="25"/>
  <c r="L458" i="25"/>
  <c r="L456" i="25"/>
  <c r="L454" i="25"/>
  <c r="L452" i="25"/>
  <c r="L450" i="25"/>
  <c r="L448" i="25"/>
  <c r="L446" i="25"/>
  <c r="L444" i="25"/>
  <c r="L442" i="25"/>
  <c r="L440" i="25"/>
  <c r="L438" i="25"/>
  <c r="L436" i="25"/>
  <c r="L434" i="25"/>
  <c r="L432" i="25"/>
  <c r="L430" i="25"/>
  <c r="L428" i="25"/>
  <c r="L426" i="25"/>
  <c r="L424" i="25"/>
  <c r="L422" i="25"/>
  <c r="L420" i="25"/>
  <c r="L418" i="25"/>
  <c r="L416" i="25"/>
  <c r="L414" i="25"/>
  <c r="L412" i="25"/>
  <c r="L410" i="25"/>
  <c r="L408" i="25"/>
  <c r="L406" i="25"/>
  <c r="L404" i="25"/>
  <c r="L402" i="25"/>
  <c r="L400" i="25"/>
  <c r="K504" i="25"/>
  <c r="K496" i="25"/>
  <c r="K488" i="25"/>
  <c r="K484" i="25"/>
  <c r="K480" i="25"/>
  <c r="L478" i="25"/>
  <c r="L477" i="25"/>
  <c r="K472" i="25"/>
  <c r="L470" i="25"/>
  <c r="L469" i="25"/>
  <c r="K464" i="25"/>
  <c r="K462" i="25"/>
  <c r="K460" i="25"/>
  <c r="K458" i="25"/>
  <c r="K456" i="25"/>
  <c r="K454" i="25"/>
  <c r="K452" i="25"/>
  <c r="K450" i="25"/>
  <c r="K448" i="25"/>
  <c r="K446" i="25"/>
  <c r="K444" i="25"/>
  <c r="K442" i="25"/>
  <c r="K440" i="25"/>
  <c r="K438" i="25"/>
  <c r="K436" i="25"/>
  <c r="K434" i="25"/>
  <c r="K432" i="25"/>
  <c r="K430" i="25"/>
  <c r="K428" i="25"/>
  <c r="K521" i="25"/>
  <c r="L518" i="25"/>
  <c r="K508" i="25"/>
  <c r="K500" i="25"/>
  <c r="K492" i="25"/>
  <c r="L483" i="25"/>
  <c r="L482" i="25"/>
  <c r="L481" i="25"/>
  <c r="K476" i="25"/>
  <c r="L474" i="25"/>
  <c r="L473" i="25"/>
  <c r="K468" i="25"/>
  <c r="L466" i="25"/>
  <c r="L465" i="25"/>
  <c r="K463" i="25"/>
  <c r="K461" i="25"/>
  <c r="K459" i="25"/>
  <c r="K457" i="25"/>
  <c r="K455" i="25"/>
  <c r="K453" i="25"/>
  <c r="K451" i="25"/>
  <c r="K449" i="25"/>
  <c r="K447" i="25"/>
  <c r="K445" i="25"/>
  <c r="K443" i="25"/>
  <c r="K441" i="25"/>
  <c r="K439" i="25"/>
  <c r="K437" i="25"/>
  <c r="K435" i="25"/>
  <c r="K433" i="25"/>
  <c r="K431" i="25"/>
  <c r="K429" i="25"/>
  <c r="K498" i="25"/>
  <c r="L457" i="25"/>
  <c r="L449" i="25"/>
  <c r="L441" i="25"/>
  <c r="L433" i="25"/>
  <c r="L427" i="25"/>
  <c r="K421" i="25"/>
  <c r="K420" i="25"/>
  <c r="L419" i="25"/>
  <c r="K413" i="25"/>
  <c r="K412" i="25"/>
  <c r="L411" i="25"/>
  <c r="K405" i="25"/>
  <c r="K404" i="25"/>
  <c r="L403" i="25"/>
  <c r="K506" i="25"/>
  <c r="K478" i="25"/>
  <c r="L475" i="25"/>
  <c r="L459" i="25"/>
  <c r="L451" i="25"/>
  <c r="L443" i="25"/>
  <c r="L435" i="25"/>
  <c r="K427" i="25"/>
  <c r="K426" i="25"/>
  <c r="L425" i="25"/>
  <c r="K419" i="25"/>
  <c r="K418" i="25"/>
  <c r="L417" i="25"/>
  <c r="K411" i="25"/>
  <c r="K410" i="25"/>
  <c r="L409" i="25"/>
  <c r="K403" i="25"/>
  <c r="K402" i="25"/>
  <c r="L401" i="25"/>
  <c r="L524" i="25"/>
  <c r="K490" i="25"/>
  <c r="L468" i="25"/>
  <c r="L463" i="25"/>
  <c r="L455" i="25"/>
  <c r="L447" i="25"/>
  <c r="L439" i="25"/>
  <c r="L431" i="25"/>
  <c r="K423" i="25"/>
  <c r="K422" i="25"/>
  <c r="L421" i="25"/>
  <c r="K415" i="25"/>
  <c r="K414" i="25"/>
  <c r="L413" i="25"/>
  <c r="K407" i="25"/>
  <c r="K406" i="25"/>
  <c r="L405" i="25"/>
  <c r="L399" i="25"/>
  <c r="L397" i="25"/>
  <c r="L395" i="25"/>
  <c r="L393" i="25"/>
  <c r="L391" i="25"/>
  <c r="L389" i="25"/>
  <c r="L387" i="25"/>
  <c r="L385" i="25"/>
  <c r="L383" i="25"/>
  <c r="L381" i="25"/>
  <c r="L379" i="25"/>
  <c r="L377" i="25"/>
  <c r="L375" i="25"/>
  <c r="L453" i="25"/>
  <c r="K425" i="25"/>
  <c r="L423" i="25"/>
  <c r="K394" i="25"/>
  <c r="K393" i="25"/>
  <c r="L392" i="25"/>
  <c r="K386" i="25"/>
  <c r="K385" i="25"/>
  <c r="L384" i="25"/>
  <c r="K378" i="25"/>
  <c r="K377" i="25"/>
  <c r="L376" i="25"/>
  <c r="L373" i="25"/>
  <c r="L371" i="25"/>
  <c r="L369" i="25"/>
  <c r="L367" i="25"/>
  <c r="L365" i="25"/>
  <c r="L363" i="25"/>
  <c r="L361" i="25"/>
  <c r="L359" i="25"/>
  <c r="L357" i="25"/>
  <c r="L355" i="25"/>
  <c r="L353" i="25"/>
  <c r="L351" i="25"/>
  <c r="L349" i="25"/>
  <c r="L347" i="25"/>
  <c r="L345" i="25"/>
  <c r="L343" i="25"/>
  <c r="L341" i="25"/>
  <c r="L339" i="25"/>
  <c r="L337" i="25"/>
  <c r="L335" i="25"/>
  <c r="L333" i="25"/>
  <c r="L331" i="25"/>
  <c r="L329" i="25"/>
  <c r="L327" i="25"/>
  <c r="L325" i="25"/>
  <c r="L323" i="25"/>
  <c r="L321" i="25"/>
  <c r="L319" i="25"/>
  <c r="L317" i="25"/>
  <c r="L315" i="25"/>
  <c r="L313" i="25"/>
  <c r="L311" i="25"/>
  <c r="L309" i="25"/>
  <c r="L307" i="25"/>
  <c r="L305" i="25"/>
  <c r="L303" i="25"/>
  <c r="L301" i="25"/>
  <c r="L299" i="25"/>
  <c r="L297" i="25"/>
  <c r="L295" i="25"/>
  <c r="L293" i="25"/>
  <c r="L291" i="25"/>
  <c r="L289" i="25"/>
  <c r="L287" i="25"/>
  <c r="L285" i="25"/>
  <c r="L283" i="25"/>
  <c r="L281" i="25"/>
  <c r="L279" i="25"/>
  <c r="L467" i="25"/>
  <c r="L461" i="25"/>
  <c r="L429" i="25"/>
  <c r="K424" i="25"/>
  <c r="K417" i="25"/>
  <c r="L415" i="25"/>
  <c r="K400" i="25"/>
  <c r="K399" i="25"/>
  <c r="L398" i="25"/>
  <c r="K392" i="25"/>
  <c r="K391" i="25"/>
  <c r="L390" i="25"/>
  <c r="K384" i="25"/>
  <c r="K383" i="25"/>
  <c r="L382" i="25"/>
  <c r="K376" i="25"/>
  <c r="K375" i="25"/>
  <c r="K373" i="25"/>
  <c r="K371" i="25"/>
  <c r="K369" i="25"/>
  <c r="K367" i="25"/>
  <c r="K365" i="25"/>
  <c r="L445" i="25"/>
  <c r="K408" i="25"/>
  <c r="K401" i="25"/>
  <c r="K396" i="25"/>
  <c r="K395" i="25"/>
  <c r="L394" i="25"/>
  <c r="K388" i="25"/>
  <c r="K387" i="25"/>
  <c r="L386" i="25"/>
  <c r="K380" i="25"/>
  <c r="K379" i="25"/>
  <c r="L378" i="25"/>
  <c r="K374" i="25"/>
  <c r="K372" i="25"/>
  <c r="K370" i="25"/>
  <c r="K368" i="25"/>
  <c r="K366" i="25"/>
  <c r="K364" i="25"/>
  <c r="K362" i="25"/>
  <c r="K360" i="25"/>
  <c r="K358" i="25"/>
  <c r="K356" i="25"/>
  <c r="K354" i="25"/>
  <c r="K352" i="25"/>
  <c r="K350" i="25"/>
  <c r="K348" i="25"/>
  <c r="K346" i="25"/>
  <c r="K344" i="25"/>
  <c r="L476" i="25"/>
  <c r="K416" i="25"/>
  <c r="K398" i="25"/>
  <c r="L396" i="25"/>
  <c r="L374" i="25"/>
  <c r="L366" i="25"/>
  <c r="L364" i="25"/>
  <c r="K363" i="25"/>
  <c r="L360" i="25"/>
  <c r="K359" i="25"/>
  <c r="L356" i="25"/>
  <c r="K355" i="25"/>
  <c r="L352" i="25"/>
  <c r="K351" i="25"/>
  <c r="L348" i="25"/>
  <c r="K347" i="25"/>
  <c r="L344" i="25"/>
  <c r="K343" i="25"/>
  <c r="L342" i="25"/>
  <c r="K336" i="25"/>
  <c r="K335" i="25"/>
  <c r="L334" i="25"/>
  <c r="K328" i="25"/>
  <c r="K327" i="25"/>
  <c r="L326" i="25"/>
  <c r="K320" i="25"/>
  <c r="K319" i="25"/>
  <c r="L318" i="25"/>
  <c r="K312" i="25"/>
  <c r="K311" i="25"/>
  <c r="L310" i="25"/>
  <c r="K304" i="25"/>
  <c r="K303" i="25"/>
  <c r="L302" i="25"/>
  <c r="K296" i="25"/>
  <c r="K295" i="25"/>
  <c r="L294" i="25"/>
  <c r="K288" i="25"/>
  <c r="K287" i="25"/>
  <c r="L286" i="25"/>
  <c r="K280" i="25"/>
  <c r="K279" i="25"/>
  <c r="L278" i="25"/>
  <c r="L276" i="25"/>
  <c r="L274" i="25"/>
  <c r="L272" i="25"/>
  <c r="L270" i="25"/>
  <c r="L268" i="25"/>
  <c r="L266" i="25"/>
  <c r="K409" i="25"/>
  <c r="K397" i="25"/>
  <c r="K390" i="25"/>
  <c r="L388" i="25"/>
  <c r="L368" i="25"/>
  <c r="K342" i="25"/>
  <c r="K341" i="25"/>
  <c r="L340" i="25"/>
  <c r="K334" i="25"/>
  <c r="K333" i="25"/>
  <c r="L332" i="25"/>
  <c r="K326" i="25"/>
  <c r="K325" i="25"/>
  <c r="L324" i="25"/>
  <c r="K318" i="25"/>
  <c r="K317" i="25"/>
  <c r="L316" i="25"/>
  <c r="K310" i="25"/>
  <c r="K309" i="25"/>
  <c r="L308" i="25"/>
  <c r="K302" i="25"/>
  <c r="K301" i="25"/>
  <c r="L300" i="25"/>
  <c r="K294" i="25"/>
  <c r="K293" i="25"/>
  <c r="L292" i="25"/>
  <c r="K286" i="25"/>
  <c r="K285" i="25"/>
  <c r="L284" i="25"/>
  <c r="K278" i="25"/>
  <c r="K276" i="25"/>
  <c r="K274" i="25"/>
  <c r="K272" i="25"/>
  <c r="K270" i="25"/>
  <c r="K268" i="25"/>
  <c r="K266" i="25"/>
  <c r="K264" i="25"/>
  <c r="L407" i="25"/>
  <c r="K381" i="25"/>
  <c r="L372" i="25"/>
  <c r="K338" i="25"/>
  <c r="K337" i="25"/>
  <c r="L336" i="25"/>
  <c r="K330" i="25"/>
  <c r="K329" i="25"/>
  <c r="L328" i="25"/>
  <c r="K322" i="25"/>
  <c r="K321" i="25"/>
  <c r="L320" i="25"/>
  <c r="K314" i="25"/>
  <c r="K313" i="25"/>
  <c r="L312" i="25"/>
  <c r="K306" i="25"/>
  <c r="K305" i="25"/>
  <c r="L304" i="25"/>
  <c r="K298" i="25"/>
  <c r="K297" i="25"/>
  <c r="L296" i="25"/>
  <c r="K290" i="25"/>
  <c r="K289" i="25"/>
  <c r="L288" i="25"/>
  <c r="K282" i="25"/>
  <c r="K281" i="25"/>
  <c r="L280" i="25"/>
  <c r="K277" i="25"/>
  <c r="K275" i="25"/>
  <c r="K273" i="25"/>
  <c r="K271" i="25"/>
  <c r="K269" i="25"/>
  <c r="K267" i="25"/>
  <c r="K265" i="25"/>
  <c r="K263" i="25"/>
  <c r="K261" i="25"/>
  <c r="K259" i="25"/>
  <c r="K257" i="25"/>
  <c r="K255" i="25"/>
  <c r="K253" i="25"/>
  <c r="K251" i="25"/>
  <c r="K249" i="25"/>
  <c r="K247" i="25"/>
  <c r="K245" i="25"/>
  <c r="K243" i="25"/>
  <c r="K241" i="25"/>
  <c r="K239" i="25"/>
  <c r="K237" i="25"/>
  <c r="K235" i="25"/>
  <c r="K233" i="25"/>
  <c r="K231" i="25"/>
  <c r="K229" i="25"/>
  <c r="K227" i="25"/>
  <c r="K382" i="25"/>
  <c r="L358" i="25"/>
  <c r="K357" i="25"/>
  <c r="K331" i="25"/>
  <c r="K324" i="25"/>
  <c r="L322" i="25"/>
  <c r="K299" i="25"/>
  <c r="K292" i="25"/>
  <c r="L290" i="25"/>
  <c r="L277" i="25"/>
  <c r="L269" i="25"/>
  <c r="L264" i="25"/>
  <c r="L262" i="25"/>
  <c r="L261" i="25"/>
  <c r="K256" i="25"/>
  <c r="L254" i="25"/>
  <c r="L253" i="25"/>
  <c r="K248" i="25"/>
  <c r="L246" i="25"/>
  <c r="L245" i="25"/>
  <c r="K240" i="25"/>
  <c r="L238" i="25"/>
  <c r="L237" i="25"/>
  <c r="K232" i="25"/>
  <c r="L230" i="25"/>
  <c r="L229" i="25"/>
  <c r="K225" i="25"/>
  <c r="K223" i="25"/>
  <c r="K221" i="25"/>
  <c r="K219" i="25"/>
  <c r="K217" i="25"/>
  <c r="K215" i="25"/>
  <c r="K213" i="25"/>
  <c r="K211" i="25"/>
  <c r="K209" i="25"/>
  <c r="K207" i="25"/>
  <c r="K205" i="25"/>
  <c r="K203" i="25"/>
  <c r="K201" i="25"/>
  <c r="K199" i="25"/>
  <c r="K197" i="25"/>
  <c r="K195" i="25"/>
  <c r="K193" i="25"/>
  <c r="K191" i="25"/>
  <c r="K189" i="25"/>
  <c r="K187" i="25"/>
  <c r="K185" i="25"/>
  <c r="K183" i="25"/>
  <c r="K181" i="25"/>
  <c r="K179" i="25"/>
  <c r="K177" i="25"/>
  <c r="K175" i="25"/>
  <c r="K173" i="25"/>
  <c r="K171" i="25"/>
  <c r="K169" i="25"/>
  <c r="K167" i="25"/>
  <c r="K165" i="25"/>
  <c r="K163" i="25"/>
  <c r="K161" i="25"/>
  <c r="K159" i="25"/>
  <c r="K157" i="25"/>
  <c r="K155" i="25"/>
  <c r="K153" i="25"/>
  <c r="K151" i="25"/>
  <c r="K149" i="25"/>
  <c r="K147" i="25"/>
  <c r="K145" i="25"/>
  <c r="K143" i="25"/>
  <c r="K141" i="25"/>
  <c r="K139" i="25"/>
  <c r="K137" i="25"/>
  <c r="K135" i="25"/>
  <c r="K133" i="25"/>
  <c r="K131" i="25"/>
  <c r="K129" i="25"/>
  <c r="K127" i="25"/>
  <c r="K125" i="25"/>
  <c r="K123" i="25"/>
  <c r="K121" i="25"/>
  <c r="K470" i="25"/>
  <c r="L370" i="25"/>
  <c r="L362" i="25"/>
  <c r="K361" i="25"/>
  <c r="L346" i="25"/>
  <c r="K345" i="25"/>
  <c r="K323" i="25"/>
  <c r="K316" i="25"/>
  <c r="L314" i="25"/>
  <c r="K291" i="25"/>
  <c r="K284" i="25"/>
  <c r="L282" i="25"/>
  <c r="L271" i="25"/>
  <c r="K262" i="25"/>
  <c r="L260" i="25"/>
  <c r="L259" i="25"/>
  <c r="K254" i="25"/>
  <c r="L252" i="25"/>
  <c r="L251" i="25"/>
  <c r="K246" i="25"/>
  <c r="L244" i="25"/>
  <c r="L243" i="25"/>
  <c r="K238" i="25"/>
  <c r="L236" i="25"/>
  <c r="L235" i="25"/>
  <c r="K230" i="25"/>
  <c r="L228" i="25"/>
  <c r="L227" i="25"/>
  <c r="L224" i="25"/>
  <c r="L222" i="25"/>
  <c r="L220" i="25"/>
  <c r="L437" i="25"/>
  <c r="K389" i="25"/>
  <c r="L354" i="25"/>
  <c r="K353" i="25"/>
  <c r="K339" i="25"/>
  <c r="K332" i="25"/>
  <c r="L330" i="25"/>
  <c r="K307" i="25"/>
  <c r="K300" i="25"/>
  <c r="L298" i="25"/>
  <c r="L275" i="25"/>
  <c r="L267" i="25"/>
  <c r="L263" i="25"/>
  <c r="K258" i="25"/>
  <c r="L256" i="25"/>
  <c r="L255" i="25"/>
  <c r="K250" i="25"/>
  <c r="L248" i="25"/>
  <c r="L247" i="25"/>
  <c r="K242" i="25"/>
  <c r="L240" i="25"/>
  <c r="L239" i="25"/>
  <c r="K234" i="25"/>
  <c r="L232" i="25"/>
  <c r="L231" i="25"/>
  <c r="K226" i="25"/>
  <c r="L225" i="25"/>
  <c r="L223" i="25"/>
  <c r="L221" i="25"/>
  <c r="L219" i="25"/>
  <c r="L217" i="25"/>
  <c r="L215" i="25"/>
  <c r="L213" i="25"/>
  <c r="L211" i="25"/>
  <c r="L209" i="25"/>
  <c r="L207" i="25"/>
  <c r="L205" i="25"/>
  <c r="L203" i="25"/>
  <c r="L201" i="25"/>
  <c r="L199" i="25"/>
  <c r="L197" i="25"/>
  <c r="L195" i="25"/>
  <c r="L193" i="25"/>
  <c r="L191" i="25"/>
  <c r="L189" i="25"/>
  <c r="L187" i="25"/>
  <c r="L185" i="25"/>
  <c r="L183" i="25"/>
  <c r="L181" i="25"/>
  <c r="L179" i="25"/>
  <c r="L177" i="25"/>
  <c r="L175" i="25"/>
  <c r="L173" i="25"/>
  <c r="L171" i="25"/>
  <c r="L169" i="25"/>
  <c r="L167" i="25"/>
  <c r="L165" i="25"/>
  <c r="L163" i="25"/>
  <c r="L161" i="25"/>
  <c r="L159" i="25"/>
  <c r="L157" i="25"/>
  <c r="L155" i="25"/>
  <c r="L153" i="25"/>
  <c r="L151" i="25"/>
  <c r="L149" i="25"/>
  <c r="L147" i="25"/>
  <c r="L145" i="25"/>
  <c r="L143" i="25"/>
  <c r="L141" i="25"/>
  <c r="L139" i="25"/>
  <c r="L137" i="25"/>
  <c r="L135" i="25"/>
  <c r="L133" i="25"/>
  <c r="L131" i="25"/>
  <c r="L129" i="25"/>
  <c r="L127" i="25"/>
  <c r="L125" i="25"/>
  <c r="L123" i="25"/>
  <c r="L121" i="25"/>
  <c r="L119" i="25"/>
  <c r="L117" i="25"/>
  <c r="L115" i="25"/>
  <c r="L113" i="25"/>
  <c r="L111" i="25"/>
  <c r="L109" i="25"/>
  <c r="L107" i="25"/>
  <c r="L105" i="25"/>
  <c r="L103" i="25"/>
  <c r="L101" i="25"/>
  <c r="L99" i="25"/>
  <c r="L97" i="25"/>
  <c r="L95" i="25"/>
  <c r="L93" i="25"/>
  <c r="L91" i="25"/>
  <c r="L89" i="25"/>
  <c r="L87" i="25"/>
  <c r="L85" i="25"/>
  <c r="L83" i="25"/>
  <c r="L81" i="25"/>
  <c r="L79" i="25"/>
  <c r="L77" i="25"/>
  <c r="L75" i="25"/>
  <c r="L73" i="25"/>
  <c r="L71" i="25"/>
  <c r="L69" i="25"/>
  <c r="L67" i="25"/>
  <c r="L65" i="25"/>
  <c r="L63" i="25"/>
  <c r="L61" i="25"/>
  <c r="L59" i="25"/>
  <c r="L57" i="25"/>
  <c r="L55" i="25"/>
  <c r="L53" i="25"/>
  <c r="L51" i="25"/>
  <c r="L49" i="25"/>
  <c r="L47" i="25"/>
  <c r="L45" i="25"/>
  <c r="L43" i="25"/>
  <c r="L41" i="25"/>
  <c r="L39" i="25"/>
  <c r="L37" i="25"/>
  <c r="L35" i="25"/>
  <c r="L33" i="25"/>
  <c r="L31" i="25"/>
  <c r="L29" i="25"/>
  <c r="K340" i="25"/>
  <c r="K315" i="25"/>
  <c r="L273" i="25"/>
  <c r="L250" i="25"/>
  <c r="K244" i="25"/>
  <c r="L241" i="25"/>
  <c r="K222" i="25"/>
  <c r="L218" i="25"/>
  <c r="L214" i="25"/>
  <c r="L210" i="25"/>
  <c r="L206" i="25"/>
  <c r="L202" i="25"/>
  <c r="L198" i="25"/>
  <c r="L194" i="25"/>
  <c r="L190" i="25"/>
  <c r="L186" i="25"/>
  <c r="L182" i="25"/>
  <c r="L178" i="25"/>
  <c r="L174" i="25"/>
  <c r="L170" i="25"/>
  <c r="L166" i="25"/>
  <c r="L162" i="25"/>
  <c r="L158" i="25"/>
  <c r="L154" i="25"/>
  <c r="L150" i="25"/>
  <c r="L146" i="25"/>
  <c r="L142" i="25"/>
  <c r="L138" i="25"/>
  <c r="L134" i="25"/>
  <c r="L130" i="25"/>
  <c r="L126" i="25"/>
  <c r="L122" i="25"/>
  <c r="K118" i="25"/>
  <c r="K117" i="25"/>
  <c r="L116" i="25"/>
  <c r="K110" i="25"/>
  <c r="K109" i="25"/>
  <c r="L108" i="25"/>
  <c r="K102" i="25"/>
  <c r="K101" i="25"/>
  <c r="L100" i="25"/>
  <c r="K94" i="25"/>
  <c r="K93" i="25"/>
  <c r="L92" i="25"/>
  <c r="K86" i="25"/>
  <c r="K85" i="25"/>
  <c r="L84" i="25"/>
  <c r="K78" i="25"/>
  <c r="K77" i="25"/>
  <c r="L76" i="25"/>
  <c r="K70" i="25"/>
  <c r="K69" i="25"/>
  <c r="L68" i="25"/>
  <c r="K62" i="25"/>
  <c r="K61" i="25"/>
  <c r="L60" i="25"/>
  <c r="K53" i="25"/>
  <c r="K45" i="25"/>
  <c r="K37" i="25"/>
  <c r="K30" i="25"/>
  <c r="K27" i="25"/>
  <c r="L350" i="25"/>
  <c r="K308" i="25"/>
  <c r="K283" i="25"/>
  <c r="L242" i="25"/>
  <c r="K236" i="25"/>
  <c r="L233" i="25"/>
  <c r="K224" i="25"/>
  <c r="K218" i="25"/>
  <c r="K214" i="25"/>
  <c r="K210" i="25"/>
  <c r="K206" i="25"/>
  <c r="K202" i="25"/>
  <c r="K198" i="25"/>
  <c r="K194" i="25"/>
  <c r="K190" i="25"/>
  <c r="K186" i="25"/>
  <c r="K182" i="25"/>
  <c r="K178" i="25"/>
  <c r="K174" i="25"/>
  <c r="K170" i="25"/>
  <c r="K166" i="25"/>
  <c r="K162" i="25"/>
  <c r="K158" i="25"/>
  <c r="K154" i="25"/>
  <c r="K150" i="25"/>
  <c r="K146" i="25"/>
  <c r="K142" i="25"/>
  <c r="K138" i="25"/>
  <c r="K134" i="25"/>
  <c r="K130" i="25"/>
  <c r="K126" i="25"/>
  <c r="K122" i="25"/>
  <c r="K116" i="25"/>
  <c r="K115" i="25"/>
  <c r="L114" i="25"/>
  <c r="K108" i="25"/>
  <c r="K107" i="25"/>
  <c r="L106" i="25"/>
  <c r="K100" i="25"/>
  <c r="K99" i="25"/>
  <c r="L98" i="25"/>
  <c r="K92" i="25"/>
  <c r="K91" i="25"/>
  <c r="L90" i="25"/>
  <c r="K84" i="25"/>
  <c r="K83" i="25"/>
  <c r="L82" i="25"/>
  <c r="K76" i="25"/>
  <c r="K75" i="25"/>
  <c r="L74" i="25"/>
  <c r="K68" i="25"/>
  <c r="K67" i="25"/>
  <c r="L66" i="25"/>
  <c r="K60" i="25"/>
  <c r="K59" i="25"/>
  <c r="L58" i="25"/>
  <c r="K52" i="25"/>
  <c r="K51" i="25"/>
  <c r="L50" i="25"/>
  <c r="K44" i="25"/>
  <c r="K43" i="25"/>
  <c r="L42" i="25"/>
  <c r="L380" i="25"/>
  <c r="L306" i="25"/>
  <c r="L265" i="25"/>
  <c r="L258" i="25"/>
  <c r="K252" i="25"/>
  <c r="L249" i="25"/>
  <c r="L226" i="25"/>
  <c r="K220" i="25"/>
  <c r="K216" i="25"/>
  <c r="K212" i="25"/>
  <c r="K208" i="25"/>
  <c r="K204" i="25"/>
  <c r="K200" i="25"/>
  <c r="K196" i="25"/>
  <c r="K192" i="25"/>
  <c r="K188" i="25"/>
  <c r="K184" i="25"/>
  <c r="K180" i="25"/>
  <c r="K176" i="25"/>
  <c r="K172" i="25"/>
  <c r="K168" i="25"/>
  <c r="K164" i="25"/>
  <c r="K160" i="25"/>
  <c r="K156" i="25"/>
  <c r="K152" i="25"/>
  <c r="K148" i="25"/>
  <c r="K144" i="25"/>
  <c r="K140" i="25"/>
  <c r="K136" i="25"/>
  <c r="K132" i="25"/>
  <c r="K128" i="25"/>
  <c r="K124" i="25"/>
  <c r="K120" i="25"/>
  <c r="K119" i="25"/>
  <c r="L118" i="25"/>
  <c r="K112" i="25"/>
  <c r="K111" i="25"/>
  <c r="L110" i="25"/>
  <c r="K104" i="25"/>
  <c r="K103" i="25"/>
  <c r="L102" i="25"/>
  <c r="K96" i="25"/>
  <c r="K95" i="25"/>
  <c r="L94" i="25"/>
  <c r="K88" i="25"/>
  <c r="K87" i="25"/>
  <c r="L86" i="25"/>
  <c r="K80" i="25"/>
  <c r="K79" i="25"/>
  <c r="L78" i="25"/>
  <c r="K72" i="25"/>
  <c r="K71" i="25"/>
  <c r="L70" i="25"/>
  <c r="K64" i="25"/>
  <c r="K63" i="25"/>
  <c r="L62" i="25"/>
  <c r="K56" i="25"/>
  <c r="K55" i="25"/>
  <c r="L54" i="25"/>
  <c r="K48" i="25"/>
  <c r="K47" i="25"/>
  <c r="L46" i="25"/>
  <c r="K40" i="25"/>
  <c r="K39" i="25"/>
  <c r="L38" i="25"/>
  <c r="K32" i="25"/>
  <c r="K31" i="25"/>
  <c r="L30" i="25"/>
  <c r="L27" i="25"/>
  <c r="L25" i="25"/>
  <c r="L23" i="25"/>
  <c r="L21" i="25"/>
  <c r="L19" i="25"/>
  <c r="L17" i="25"/>
  <c r="L15" i="25"/>
  <c r="L13" i="25"/>
  <c r="K54" i="25"/>
  <c r="L52" i="25"/>
  <c r="K46" i="25"/>
  <c r="L44" i="25"/>
  <c r="K38" i="25"/>
  <c r="L36" i="25"/>
  <c r="K29" i="25"/>
  <c r="K25" i="25"/>
  <c r="K349" i="25"/>
  <c r="L257" i="25"/>
  <c r="L212" i="25"/>
  <c r="L196" i="25"/>
  <c r="L180" i="25"/>
  <c r="L164" i="25"/>
  <c r="L148" i="25"/>
  <c r="L132" i="25"/>
  <c r="K113" i="25"/>
  <c r="K106" i="25"/>
  <c r="L104" i="25"/>
  <c r="K81" i="25"/>
  <c r="K74" i="25"/>
  <c r="L72" i="25"/>
  <c r="K49" i="25"/>
  <c r="K42" i="25"/>
  <c r="L40" i="25"/>
  <c r="K35" i="25"/>
  <c r="K34" i="25"/>
  <c r="K33" i="25"/>
  <c r="K26" i="25"/>
  <c r="K20" i="25"/>
  <c r="K23" i="25"/>
  <c r="L22" i="25"/>
  <c r="K260" i="25"/>
  <c r="L216" i="25"/>
  <c r="L200" i="25"/>
  <c r="L184" i="25"/>
  <c r="L168" i="25"/>
  <c r="L152" i="25"/>
  <c r="L136" i="25"/>
  <c r="L120" i="25"/>
  <c r="K105" i="25"/>
  <c r="K98" i="25"/>
  <c r="L96" i="25"/>
  <c r="K73" i="25"/>
  <c r="K66" i="25"/>
  <c r="L64" i="25"/>
  <c r="K41" i="25"/>
  <c r="L28" i="25"/>
  <c r="L24" i="25"/>
  <c r="K18" i="25"/>
  <c r="K17" i="25"/>
  <c r="L16" i="25"/>
  <c r="L234" i="25"/>
  <c r="K228" i="25"/>
  <c r="L188" i="25"/>
  <c r="K97" i="25"/>
  <c r="L88" i="25"/>
  <c r="K65" i="25"/>
  <c r="K28" i="25"/>
  <c r="L338" i="25"/>
  <c r="L208" i="25"/>
  <c r="L192" i="25"/>
  <c r="L176" i="25"/>
  <c r="L160" i="25"/>
  <c r="L144" i="25"/>
  <c r="L128" i="25"/>
  <c r="K114" i="25"/>
  <c r="L112" i="25"/>
  <c r="K89" i="25"/>
  <c r="K82" i="25"/>
  <c r="L80" i="25"/>
  <c r="K57" i="25"/>
  <c r="K50" i="25"/>
  <c r="L48" i="25"/>
  <c r="K36" i="25"/>
  <c r="L34" i="25"/>
  <c r="L32" i="25"/>
  <c r="L26" i="25"/>
  <c r="K22" i="25"/>
  <c r="K21" i="25"/>
  <c r="L20" i="25"/>
  <c r="K14" i="25"/>
  <c r="K13" i="25"/>
  <c r="K19" i="25"/>
  <c r="L18" i="25"/>
  <c r="L204" i="25"/>
  <c r="L172" i="25"/>
  <c r="L156" i="25"/>
  <c r="L140" i="25"/>
  <c r="L124" i="25"/>
  <c r="K90" i="25"/>
  <c r="K58" i="25"/>
  <c r="L56" i="25"/>
  <c r="K24" i="25"/>
  <c r="K16" i="25"/>
  <c r="K15" i="25"/>
  <c r="L14" i="25"/>
  <c r="L628" i="25"/>
  <c r="L626" i="25"/>
  <c r="K628" i="25"/>
  <c r="K626" i="25"/>
  <c r="L623" i="25"/>
  <c r="K623" i="25"/>
  <c r="L622" i="25"/>
  <c r="K622" i="25"/>
  <c r="J613" i="25"/>
  <c r="J611" i="25"/>
  <c r="J609" i="25"/>
  <c r="A624" i="25"/>
  <c r="I613" i="25"/>
  <c r="I611" i="25"/>
  <c r="I609" i="25"/>
  <c r="W624" i="25"/>
  <c r="I612" i="25"/>
  <c r="I610" i="25"/>
  <c r="I608" i="25"/>
  <c r="C634" i="25"/>
  <c r="I605" i="25"/>
  <c r="I603" i="25"/>
  <c r="I601" i="25"/>
  <c r="I599" i="25"/>
  <c r="I597" i="25"/>
  <c r="J607" i="25"/>
  <c r="J606" i="25"/>
  <c r="J604" i="25"/>
  <c r="J602" i="25"/>
  <c r="J600" i="25"/>
  <c r="J598" i="25"/>
  <c r="J612" i="25"/>
  <c r="J605" i="25"/>
  <c r="J603" i="25"/>
  <c r="J601" i="25"/>
  <c r="J599" i="25"/>
  <c r="J597" i="25"/>
  <c r="J595" i="25"/>
  <c r="J593" i="25"/>
  <c r="J608" i="25"/>
  <c r="I602" i="25"/>
  <c r="I594" i="25"/>
  <c r="I593" i="25"/>
  <c r="J592" i="25"/>
  <c r="J590" i="25"/>
  <c r="J588" i="25"/>
  <c r="J586" i="25"/>
  <c r="I607" i="25"/>
  <c r="I604" i="25"/>
  <c r="I592" i="25"/>
  <c r="I590" i="25"/>
  <c r="I588" i="25"/>
  <c r="I586" i="25"/>
  <c r="I584" i="25"/>
  <c r="I600" i="25"/>
  <c r="I596" i="25"/>
  <c r="I595" i="25"/>
  <c r="J594" i="25"/>
  <c r="I591" i="25"/>
  <c r="I589" i="25"/>
  <c r="I587" i="25"/>
  <c r="I585" i="25"/>
  <c r="I583" i="25"/>
  <c r="I581" i="25"/>
  <c r="I579" i="25"/>
  <c r="I598" i="25"/>
  <c r="J596" i="25"/>
  <c r="J589" i="25"/>
  <c r="J584" i="25"/>
  <c r="J583" i="25"/>
  <c r="I582" i="25"/>
  <c r="J580" i="25"/>
  <c r="I577" i="25"/>
  <c r="I575" i="25"/>
  <c r="I573" i="25"/>
  <c r="I571" i="25"/>
  <c r="I569" i="25"/>
  <c r="I567" i="25"/>
  <c r="I565" i="25"/>
  <c r="I563" i="25"/>
  <c r="I561" i="25"/>
  <c r="I559" i="25"/>
  <c r="I557" i="25"/>
  <c r="J610" i="25"/>
  <c r="I606" i="25"/>
  <c r="J591" i="25"/>
  <c r="J581" i="25"/>
  <c r="I580" i="25"/>
  <c r="J578" i="25"/>
  <c r="J576" i="25"/>
  <c r="J574" i="25"/>
  <c r="J572" i="25"/>
  <c r="J570" i="25"/>
  <c r="J568" i="25"/>
  <c r="J566" i="25"/>
  <c r="J587" i="25"/>
  <c r="J582" i="25"/>
  <c r="J577" i="25"/>
  <c r="J575" i="25"/>
  <c r="J573" i="25"/>
  <c r="J571" i="25"/>
  <c r="J569" i="25"/>
  <c r="J567" i="25"/>
  <c r="I578" i="25"/>
  <c r="I574" i="25"/>
  <c r="I566" i="25"/>
  <c r="J561" i="25"/>
  <c r="I560" i="25"/>
  <c r="J558" i="25"/>
  <c r="I556" i="25"/>
  <c r="I554" i="25"/>
  <c r="I552" i="25"/>
  <c r="I550" i="25"/>
  <c r="I548" i="25"/>
  <c r="I546" i="25"/>
  <c r="I544" i="25"/>
  <c r="I542" i="25"/>
  <c r="I540" i="25"/>
  <c r="I538" i="25"/>
  <c r="I536" i="25"/>
  <c r="I534" i="25"/>
  <c r="I532" i="25"/>
  <c r="I530" i="25"/>
  <c r="I528" i="25"/>
  <c r="I526" i="25"/>
  <c r="I576" i="25"/>
  <c r="I568" i="25"/>
  <c r="J565" i="25"/>
  <c r="J564" i="25"/>
  <c r="J559" i="25"/>
  <c r="I558" i="25"/>
  <c r="J555" i="25"/>
  <c r="J553" i="25"/>
  <c r="J551" i="25"/>
  <c r="J549" i="25"/>
  <c r="J547" i="25"/>
  <c r="J545" i="25"/>
  <c r="J543" i="25"/>
  <c r="J541" i="25"/>
  <c r="J539" i="25"/>
  <c r="J585" i="25"/>
  <c r="J579" i="25"/>
  <c r="I572" i="25"/>
  <c r="J563" i="25"/>
  <c r="I562" i="25"/>
  <c r="J560" i="25"/>
  <c r="J556" i="25"/>
  <c r="J554" i="25"/>
  <c r="J552" i="25"/>
  <c r="J550" i="25"/>
  <c r="J548" i="25"/>
  <c r="J546" i="25"/>
  <c r="J544" i="25"/>
  <c r="J542" i="25"/>
  <c r="J540" i="25"/>
  <c r="I570" i="25"/>
  <c r="I555" i="25"/>
  <c r="I547" i="25"/>
  <c r="I539" i="25"/>
  <c r="J537" i="25"/>
  <c r="J532" i="25"/>
  <c r="I531" i="25"/>
  <c r="J529" i="25"/>
  <c r="J524" i="25"/>
  <c r="I549" i="25"/>
  <c r="I541" i="25"/>
  <c r="J538" i="25"/>
  <c r="I537" i="25"/>
  <c r="J535" i="25"/>
  <c r="J530" i="25"/>
  <c r="I529" i="25"/>
  <c r="J527" i="25"/>
  <c r="I524" i="25"/>
  <c r="I553" i="25"/>
  <c r="I545" i="25"/>
  <c r="J534" i="25"/>
  <c r="I533" i="25"/>
  <c r="J531" i="25"/>
  <c r="J526" i="25"/>
  <c r="I525" i="25"/>
  <c r="I523" i="25"/>
  <c r="I521" i="25"/>
  <c r="I519" i="25"/>
  <c r="I517" i="25"/>
  <c r="I515" i="25"/>
  <c r="I513" i="25"/>
  <c r="I551" i="25"/>
  <c r="I535" i="25"/>
  <c r="J533" i="25"/>
  <c r="J528" i="25"/>
  <c r="J519" i="25"/>
  <c r="I518" i="25"/>
  <c r="J516" i="25"/>
  <c r="I510" i="25"/>
  <c r="I508" i="25"/>
  <c r="I506" i="25"/>
  <c r="I504" i="25"/>
  <c r="I502" i="25"/>
  <c r="I500" i="25"/>
  <c r="I498" i="25"/>
  <c r="I496" i="25"/>
  <c r="I494" i="25"/>
  <c r="I492" i="25"/>
  <c r="I490" i="25"/>
  <c r="I488" i="25"/>
  <c r="I486" i="25"/>
  <c r="I484" i="25"/>
  <c r="I482" i="25"/>
  <c r="I480" i="25"/>
  <c r="I478" i="25"/>
  <c r="I476" i="25"/>
  <c r="I474" i="25"/>
  <c r="I472" i="25"/>
  <c r="I470" i="25"/>
  <c r="I468" i="25"/>
  <c r="I466" i="25"/>
  <c r="J562" i="25"/>
  <c r="I527" i="25"/>
  <c r="J525" i="25"/>
  <c r="J522" i="25"/>
  <c r="J517" i="25"/>
  <c r="I516" i="25"/>
  <c r="J514" i="25"/>
  <c r="J511" i="25"/>
  <c r="J509" i="25"/>
  <c r="J507" i="25"/>
  <c r="J505" i="25"/>
  <c r="J503" i="25"/>
  <c r="J501" i="25"/>
  <c r="J499" i="25"/>
  <c r="J497" i="25"/>
  <c r="J495" i="25"/>
  <c r="J493" i="25"/>
  <c r="J491" i="25"/>
  <c r="J489" i="25"/>
  <c r="J487" i="25"/>
  <c r="J485" i="25"/>
  <c r="J483" i="25"/>
  <c r="I564" i="25"/>
  <c r="J557" i="25"/>
  <c r="I543" i="25"/>
  <c r="J536" i="25"/>
  <c r="J521" i="25"/>
  <c r="I520" i="25"/>
  <c r="J518" i="25"/>
  <c r="J513" i="25"/>
  <c r="I512" i="25"/>
  <c r="J510" i="25"/>
  <c r="J508" i="25"/>
  <c r="J506" i="25"/>
  <c r="J504" i="25"/>
  <c r="J502" i="25"/>
  <c r="J500" i="25"/>
  <c r="J498" i="25"/>
  <c r="J496" i="25"/>
  <c r="J494" i="25"/>
  <c r="J492" i="25"/>
  <c r="J490" i="25"/>
  <c r="J488" i="25"/>
  <c r="J486" i="25"/>
  <c r="I514" i="25"/>
  <c r="J512" i="25"/>
  <c r="I507" i="25"/>
  <c r="I499" i="25"/>
  <c r="I491" i="25"/>
  <c r="I483" i="25"/>
  <c r="J481" i="25"/>
  <c r="J476" i="25"/>
  <c r="I475" i="25"/>
  <c r="J473" i="25"/>
  <c r="J468" i="25"/>
  <c r="I467" i="25"/>
  <c r="J465" i="25"/>
  <c r="J463" i="25"/>
  <c r="J461" i="25"/>
  <c r="J459" i="25"/>
  <c r="J457" i="25"/>
  <c r="J455" i="25"/>
  <c r="J453" i="25"/>
  <c r="J451" i="25"/>
  <c r="J449" i="25"/>
  <c r="J447" i="25"/>
  <c r="J445" i="25"/>
  <c r="J443" i="25"/>
  <c r="J441" i="25"/>
  <c r="J439" i="25"/>
  <c r="J437" i="25"/>
  <c r="J435" i="25"/>
  <c r="J433" i="25"/>
  <c r="J431" i="25"/>
  <c r="J429" i="25"/>
  <c r="J427" i="25"/>
  <c r="J425" i="25"/>
  <c r="J423" i="25"/>
  <c r="J421" i="25"/>
  <c r="J419" i="25"/>
  <c r="J417" i="25"/>
  <c r="J415" i="25"/>
  <c r="J413" i="25"/>
  <c r="J411" i="25"/>
  <c r="J409" i="25"/>
  <c r="J407" i="25"/>
  <c r="J405" i="25"/>
  <c r="J403" i="25"/>
  <c r="J401" i="25"/>
  <c r="I509" i="25"/>
  <c r="I501" i="25"/>
  <c r="I493" i="25"/>
  <c r="I485" i="25"/>
  <c r="J482" i="25"/>
  <c r="I481" i="25"/>
  <c r="J479" i="25"/>
  <c r="J474" i="25"/>
  <c r="I473" i="25"/>
  <c r="J471" i="25"/>
  <c r="J466" i="25"/>
  <c r="I465" i="25"/>
  <c r="I463" i="25"/>
  <c r="I461" i="25"/>
  <c r="I459" i="25"/>
  <c r="I457" i="25"/>
  <c r="I455" i="25"/>
  <c r="I453" i="25"/>
  <c r="I451" i="25"/>
  <c r="I449" i="25"/>
  <c r="I447" i="25"/>
  <c r="I445" i="25"/>
  <c r="I443" i="25"/>
  <c r="I441" i="25"/>
  <c r="I439" i="25"/>
  <c r="I437" i="25"/>
  <c r="I435" i="25"/>
  <c r="I433" i="25"/>
  <c r="I431" i="25"/>
  <c r="I429" i="25"/>
  <c r="I522" i="25"/>
  <c r="J520" i="25"/>
  <c r="J515" i="25"/>
  <c r="I505" i="25"/>
  <c r="I497" i="25"/>
  <c r="I489" i="25"/>
  <c r="J478" i="25"/>
  <c r="I477" i="25"/>
  <c r="J475" i="25"/>
  <c r="J470" i="25"/>
  <c r="I469" i="25"/>
  <c r="J467" i="25"/>
  <c r="I464" i="25"/>
  <c r="I462" i="25"/>
  <c r="I460" i="25"/>
  <c r="I458" i="25"/>
  <c r="I456" i="25"/>
  <c r="I454" i="25"/>
  <c r="I452" i="25"/>
  <c r="I450" i="25"/>
  <c r="I448" i="25"/>
  <c r="I446" i="25"/>
  <c r="I444" i="25"/>
  <c r="I442" i="25"/>
  <c r="I440" i="25"/>
  <c r="I438" i="25"/>
  <c r="I436" i="25"/>
  <c r="I434" i="25"/>
  <c r="I432" i="25"/>
  <c r="I430" i="25"/>
  <c r="J523" i="25"/>
  <c r="I495" i="25"/>
  <c r="J480" i="25"/>
  <c r="J460" i="25"/>
  <c r="J452" i="25"/>
  <c r="J444" i="25"/>
  <c r="J436" i="25"/>
  <c r="I424" i="25"/>
  <c r="I423" i="25"/>
  <c r="J422" i="25"/>
  <c r="I416" i="25"/>
  <c r="I415" i="25"/>
  <c r="J414" i="25"/>
  <c r="I408" i="25"/>
  <c r="I407" i="25"/>
  <c r="J406" i="25"/>
  <c r="I503" i="25"/>
  <c r="I479" i="25"/>
  <c r="J477" i="25"/>
  <c r="J472" i="25"/>
  <c r="J462" i="25"/>
  <c r="J454" i="25"/>
  <c r="J446" i="25"/>
  <c r="J438" i="25"/>
  <c r="J430" i="25"/>
  <c r="I422" i="25"/>
  <c r="I421" i="25"/>
  <c r="J420" i="25"/>
  <c r="I414" i="25"/>
  <c r="I413" i="25"/>
  <c r="J412" i="25"/>
  <c r="I406" i="25"/>
  <c r="I405" i="25"/>
  <c r="J404" i="25"/>
  <c r="I487" i="25"/>
  <c r="J484" i="25"/>
  <c r="J458" i="25"/>
  <c r="J450" i="25"/>
  <c r="J442" i="25"/>
  <c r="J434" i="25"/>
  <c r="I428" i="25"/>
  <c r="I426" i="25"/>
  <c r="I425" i="25"/>
  <c r="J424" i="25"/>
  <c r="I418" i="25"/>
  <c r="I417" i="25"/>
  <c r="J416" i="25"/>
  <c r="I410" i="25"/>
  <c r="I409" i="25"/>
  <c r="J408" i="25"/>
  <c r="I402" i="25"/>
  <c r="I401" i="25"/>
  <c r="J400" i="25"/>
  <c r="J398" i="25"/>
  <c r="J396" i="25"/>
  <c r="J394" i="25"/>
  <c r="J392" i="25"/>
  <c r="J390" i="25"/>
  <c r="J388" i="25"/>
  <c r="J386" i="25"/>
  <c r="J384" i="25"/>
  <c r="J382" i="25"/>
  <c r="J380" i="25"/>
  <c r="J378" i="25"/>
  <c r="J376" i="25"/>
  <c r="J456" i="25"/>
  <c r="I427" i="25"/>
  <c r="J426" i="25"/>
  <c r="I420" i="25"/>
  <c r="I397" i="25"/>
  <c r="I396" i="25"/>
  <c r="J395" i="25"/>
  <c r="I389" i="25"/>
  <c r="I388" i="25"/>
  <c r="J387" i="25"/>
  <c r="I381" i="25"/>
  <c r="I380" i="25"/>
  <c r="J379" i="25"/>
  <c r="J374" i="25"/>
  <c r="J372" i="25"/>
  <c r="J370" i="25"/>
  <c r="J368" i="25"/>
  <c r="J366" i="25"/>
  <c r="J364" i="25"/>
  <c r="J362" i="25"/>
  <c r="J360" i="25"/>
  <c r="J358" i="25"/>
  <c r="J356" i="25"/>
  <c r="J354" i="25"/>
  <c r="J352" i="25"/>
  <c r="J350" i="25"/>
  <c r="J348" i="25"/>
  <c r="J346" i="25"/>
  <c r="J344" i="25"/>
  <c r="J342" i="25"/>
  <c r="J340" i="25"/>
  <c r="J338" i="25"/>
  <c r="J336" i="25"/>
  <c r="J334" i="25"/>
  <c r="J332" i="25"/>
  <c r="J330" i="25"/>
  <c r="J328" i="25"/>
  <c r="J326" i="25"/>
  <c r="J324" i="25"/>
  <c r="J322" i="25"/>
  <c r="J320" i="25"/>
  <c r="J318" i="25"/>
  <c r="J316" i="25"/>
  <c r="J314" i="25"/>
  <c r="J312" i="25"/>
  <c r="J310" i="25"/>
  <c r="J308" i="25"/>
  <c r="J306" i="25"/>
  <c r="J304" i="25"/>
  <c r="J302" i="25"/>
  <c r="J300" i="25"/>
  <c r="J298" i="25"/>
  <c r="J296" i="25"/>
  <c r="J294" i="25"/>
  <c r="J292" i="25"/>
  <c r="J290" i="25"/>
  <c r="J288" i="25"/>
  <c r="J286" i="25"/>
  <c r="J284" i="25"/>
  <c r="J282" i="25"/>
  <c r="J280" i="25"/>
  <c r="I511" i="25"/>
  <c r="I471" i="25"/>
  <c r="J464" i="25"/>
  <c r="J432" i="25"/>
  <c r="I419" i="25"/>
  <c r="J418" i="25"/>
  <c r="I412" i="25"/>
  <c r="I395" i="25"/>
  <c r="I394" i="25"/>
  <c r="J393" i="25"/>
  <c r="I387" i="25"/>
  <c r="I386" i="25"/>
  <c r="J385" i="25"/>
  <c r="I379" i="25"/>
  <c r="I378" i="25"/>
  <c r="J377" i="25"/>
  <c r="I374" i="25"/>
  <c r="I372" i="25"/>
  <c r="I370" i="25"/>
  <c r="I368" i="25"/>
  <c r="I366" i="25"/>
  <c r="J469" i="25"/>
  <c r="J448" i="25"/>
  <c r="J428" i="25"/>
  <c r="I403" i="25"/>
  <c r="J402" i="25"/>
  <c r="I399" i="25"/>
  <c r="I398" i="25"/>
  <c r="J397" i="25"/>
  <c r="I391" i="25"/>
  <c r="I390" i="25"/>
  <c r="J389" i="25"/>
  <c r="I383" i="25"/>
  <c r="I382" i="25"/>
  <c r="J381" i="25"/>
  <c r="I375" i="25"/>
  <c r="I373" i="25"/>
  <c r="I371" i="25"/>
  <c r="I369" i="25"/>
  <c r="I367" i="25"/>
  <c r="I365" i="25"/>
  <c r="I363" i="25"/>
  <c r="I361" i="25"/>
  <c r="I359" i="25"/>
  <c r="I357" i="25"/>
  <c r="I355" i="25"/>
  <c r="I353" i="25"/>
  <c r="I351" i="25"/>
  <c r="I349" i="25"/>
  <c r="I347" i="25"/>
  <c r="I345" i="25"/>
  <c r="J440" i="25"/>
  <c r="J410" i="25"/>
  <c r="I400" i="25"/>
  <c r="J399" i="25"/>
  <c r="I393" i="25"/>
  <c r="J369" i="25"/>
  <c r="I339" i="25"/>
  <c r="I338" i="25"/>
  <c r="J337" i="25"/>
  <c r="I331" i="25"/>
  <c r="I330" i="25"/>
  <c r="J329" i="25"/>
  <c r="I323" i="25"/>
  <c r="I322" i="25"/>
  <c r="J321" i="25"/>
  <c r="I315" i="25"/>
  <c r="I314" i="25"/>
  <c r="J313" i="25"/>
  <c r="I307" i="25"/>
  <c r="I306" i="25"/>
  <c r="J305" i="25"/>
  <c r="I299" i="25"/>
  <c r="I298" i="25"/>
  <c r="J297" i="25"/>
  <c r="I291" i="25"/>
  <c r="I290" i="25"/>
  <c r="J289" i="25"/>
  <c r="I283" i="25"/>
  <c r="I282" i="25"/>
  <c r="J281" i="25"/>
  <c r="J277" i="25"/>
  <c r="J275" i="25"/>
  <c r="J273" i="25"/>
  <c r="J271" i="25"/>
  <c r="J269" i="25"/>
  <c r="J267" i="25"/>
  <c r="J265" i="25"/>
  <c r="I392" i="25"/>
  <c r="J391" i="25"/>
  <c r="I385" i="25"/>
  <c r="J371" i="25"/>
  <c r="I364" i="25"/>
  <c r="J363" i="25"/>
  <c r="I360" i="25"/>
  <c r="J359" i="25"/>
  <c r="I356" i="25"/>
  <c r="J355" i="25"/>
  <c r="I352" i="25"/>
  <c r="J351" i="25"/>
  <c r="I348" i="25"/>
  <c r="J347" i="25"/>
  <c r="I344" i="25"/>
  <c r="J343" i="25"/>
  <c r="I337" i="25"/>
  <c r="I336" i="25"/>
  <c r="J335" i="25"/>
  <c r="I329" i="25"/>
  <c r="I328" i="25"/>
  <c r="J327" i="25"/>
  <c r="I321" i="25"/>
  <c r="I320" i="25"/>
  <c r="J319" i="25"/>
  <c r="I313" i="25"/>
  <c r="I312" i="25"/>
  <c r="J311" i="25"/>
  <c r="I305" i="25"/>
  <c r="I304" i="25"/>
  <c r="J303" i="25"/>
  <c r="I297" i="25"/>
  <c r="I296" i="25"/>
  <c r="J295" i="25"/>
  <c r="I289" i="25"/>
  <c r="I288" i="25"/>
  <c r="J287" i="25"/>
  <c r="I281" i="25"/>
  <c r="I280" i="25"/>
  <c r="J279" i="25"/>
  <c r="I277" i="25"/>
  <c r="I275" i="25"/>
  <c r="I273" i="25"/>
  <c r="I271" i="25"/>
  <c r="I269" i="25"/>
  <c r="I267" i="25"/>
  <c r="I265" i="25"/>
  <c r="I411" i="25"/>
  <c r="I404" i="25"/>
  <c r="I376" i="25"/>
  <c r="J375" i="25"/>
  <c r="J367" i="25"/>
  <c r="I362" i="25"/>
  <c r="J361" i="25"/>
  <c r="I358" i="25"/>
  <c r="J357" i="25"/>
  <c r="I354" i="25"/>
  <c r="J353" i="25"/>
  <c r="I350" i="25"/>
  <c r="J349" i="25"/>
  <c r="I346" i="25"/>
  <c r="J345" i="25"/>
  <c r="I341" i="25"/>
  <c r="I340" i="25"/>
  <c r="J339" i="25"/>
  <c r="I333" i="25"/>
  <c r="I332" i="25"/>
  <c r="J331" i="25"/>
  <c r="I325" i="25"/>
  <c r="I324" i="25"/>
  <c r="J323" i="25"/>
  <c r="I317" i="25"/>
  <c r="I316" i="25"/>
  <c r="J315" i="25"/>
  <c r="I309" i="25"/>
  <c r="I308" i="25"/>
  <c r="J307" i="25"/>
  <c r="I301" i="25"/>
  <c r="I300" i="25"/>
  <c r="J299" i="25"/>
  <c r="I293" i="25"/>
  <c r="I292" i="25"/>
  <c r="J291" i="25"/>
  <c r="I285" i="25"/>
  <c r="I284" i="25"/>
  <c r="J283" i="25"/>
  <c r="I278" i="25"/>
  <c r="I276" i="25"/>
  <c r="I274" i="25"/>
  <c r="I272" i="25"/>
  <c r="I270" i="25"/>
  <c r="I268" i="25"/>
  <c r="I266" i="25"/>
  <c r="I264" i="25"/>
  <c r="I262" i="25"/>
  <c r="I260" i="25"/>
  <c r="I258" i="25"/>
  <c r="I256" i="25"/>
  <c r="I254" i="25"/>
  <c r="I252" i="25"/>
  <c r="I250" i="25"/>
  <c r="I248" i="25"/>
  <c r="I246" i="25"/>
  <c r="I244" i="25"/>
  <c r="I242" i="25"/>
  <c r="I240" i="25"/>
  <c r="I238" i="25"/>
  <c r="I236" i="25"/>
  <c r="I234" i="25"/>
  <c r="I232" i="25"/>
  <c r="I230" i="25"/>
  <c r="I228" i="25"/>
  <c r="I226" i="25"/>
  <c r="J365" i="25"/>
  <c r="I326" i="25"/>
  <c r="J325" i="25"/>
  <c r="I319" i="25"/>
  <c r="I294" i="25"/>
  <c r="J293" i="25"/>
  <c r="I287" i="25"/>
  <c r="J272" i="25"/>
  <c r="J263" i="25"/>
  <c r="J258" i="25"/>
  <c r="I257" i="25"/>
  <c r="J255" i="25"/>
  <c r="J250" i="25"/>
  <c r="I249" i="25"/>
  <c r="J247" i="25"/>
  <c r="J242" i="25"/>
  <c r="I241" i="25"/>
  <c r="J239" i="25"/>
  <c r="J234" i="25"/>
  <c r="I233" i="25"/>
  <c r="J231" i="25"/>
  <c r="J226" i="25"/>
  <c r="I224" i="25"/>
  <c r="I222" i="25"/>
  <c r="I220" i="25"/>
  <c r="I218" i="25"/>
  <c r="I216" i="25"/>
  <c r="I214" i="25"/>
  <c r="I212" i="25"/>
  <c r="I210" i="25"/>
  <c r="I208" i="25"/>
  <c r="I206" i="25"/>
  <c r="I204" i="25"/>
  <c r="I202" i="25"/>
  <c r="I200" i="25"/>
  <c r="I198" i="25"/>
  <c r="I196" i="25"/>
  <c r="I194" i="25"/>
  <c r="I192" i="25"/>
  <c r="I190" i="25"/>
  <c r="I188" i="25"/>
  <c r="I186" i="25"/>
  <c r="I184" i="25"/>
  <c r="I182" i="25"/>
  <c r="I180" i="25"/>
  <c r="I178" i="25"/>
  <c r="I176" i="25"/>
  <c r="I174" i="25"/>
  <c r="I172" i="25"/>
  <c r="I170" i="25"/>
  <c r="I168" i="25"/>
  <c r="I166" i="25"/>
  <c r="I164" i="25"/>
  <c r="I162" i="25"/>
  <c r="I160" i="25"/>
  <c r="I158" i="25"/>
  <c r="I156" i="25"/>
  <c r="I154" i="25"/>
  <c r="I152" i="25"/>
  <c r="I150" i="25"/>
  <c r="I148" i="25"/>
  <c r="I146" i="25"/>
  <c r="I144" i="25"/>
  <c r="I142" i="25"/>
  <c r="I140" i="25"/>
  <c r="I138" i="25"/>
  <c r="I136" i="25"/>
  <c r="I134" i="25"/>
  <c r="I132" i="25"/>
  <c r="I130" i="25"/>
  <c r="I128" i="25"/>
  <c r="I126" i="25"/>
  <c r="I124" i="25"/>
  <c r="I122" i="25"/>
  <c r="I120" i="25"/>
  <c r="J373" i="25"/>
  <c r="I343" i="25"/>
  <c r="I318" i="25"/>
  <c r="J317" i="25"/>
  <c r="I311" i="25"/>
  <c r="I286" i="25"/>
  <c r="J285" i="25"/>
  <c r="I279" i="25"/>
  <c r="J274" i="25"/>
  <c r="J266" i="25"/>
  <c r="J264" i="25"/>
  <c r="I263" i="25"/>
  <c r="J261" i="25"/>
  <c r="J256" i="25"/>
  <c r="I255" i="25"/>
  <c r="J253" i="25"/>
  <c r="J248" i="25"/>
  <c r="I247" i="25"/>
  <c r="J245" i="25"/>
  <c r="J240" i="25"/>
  <c r="I239" i="25"/>
  <c r="J237" i="25"/>
  <c r="J232" i="25"/>
  <c r="I231" i="25"/>
  <c r="J229" i="25"/>
  <c r="J225" i="25"/>
  <c r="J223" i="25"/>
  <c r="J221" i="25"/>
  <c r="J383" i="25"/>
  <c r="I334" i="25"/>
  <c r="J333" i="25"/>
  <c r="I327" i="25"/>
  <c r="I302" i="25"/>
  <c r="J301" i="25"/>
  <c r="I295" i="25"/>
  <c r="J278" i="25"/>
  <c r="J270" i="25"/>
  <c r="J260" i="25"/>
  <c r="I259" i="25"/>
  <c r="J257" i="25"/>
  <c r="J252" i="25"/>
  <c r="I251" i="25"/>
  <c r="J249" i="25"/>
  <c r="J244" i="25"/>
  <c r="I243" i="25"/>
  <c r="J241" i="25"/>
  <c r="J236" i="25"/>
  <c r="I235" i="25"/>
  <c r="J233" i="25"/>
  <c r="J228" i="25"/>
  <c r="I227" i="25"/>
  <c r="J224" i="25"/>
  <c r="J222" i="25"/>
  <c r="J220" i="25"/>
  <c r="J218" i="25"/>
  <c r="J216" i="25"/>
  <c r="J214" i="25"/>
  <c r="J212" i="25"/>
  <c r="J210" i="25"/>
  <c r="J208" i="25"/>
  <c r="J206" i="25"/>
  <c r="J204" i="25"/>
  <c r="J202" i="25"/>
  <c r="J200" i="25"/>
  <c r="J198" i="25"/>
  <c r="J196" i="25"/>
  <c r="J194" i="25"/>
  <c r="J192" i="25"/>
  <c r="J190" i="25"/>
  <c r="J188" i="25"/>
  <c r="J186" i="25"/>
  <c r="J184" i="25"/>
  <c r="J182" i="25"/>
  <c r="J180" i="25"/>
  <c r="J178" i="25"/>
  <c r="J176" i="25"/>
  <c r="J174" i="25"/>
  <c r="J172" i="25"/>
  <c r="J170" i="25"/>
  <c r="J168" i="25"/>
  <c r="J166" i="25"/>
  <c r="J164" i="25"/>
  <c r="J162" i="25"/>
  <c r="J160" i="25"/>
  <c r="J158" i="25"/>
  <c r="J156" i="25"/>
  <c r="J154" i="25"/>
  <c r="J152" i="25"/>
  <c r="J150" i="25"/>
  <c r="J148" i="25"/>
  <c r="J146" i="25"/>
  <c r="J144" i="25"/>
  <c r="J142" i="25"/>
  <c r="J140" i="25"/>
  <c r="J138" i="25"/>
  <c r="J136" i="25"/>
  <c r="J134" i="25"/>
  <c r="J132" i="25"/>
  <c r="J130" i="25"/>
  <c r="J128" i="25"/>
  <c r="J126" i="25"/>
  <c r="J124" i="25"/>
  <c r="J122" i="25"/>
  <c r="J120" i="25"/>
  <c r="J118" i="25"/>
  <c r="J116" i="25"/>
  <c r="J114" i="25"/>
  <c r="J112" i="25"/>
  <c r="J110" i="25"/>
  <c r="J108" i="25"/>
  <c r="J106" i="25"/>
  <c r="J104" i="25"/>
  <c r="J102" i="25"/>
  <c r="J100" i="25"/>
  <c r="J98" i="25"/>
  <c r="J96" i="25"/>
  <c r="J94" i="25"/>
  <c r="J92" i="25"/>
  <c r="J90" i="25"/>
  <c r="J88" i="25"/>
  <c r="J86" i="25"/>
  <c r="J84" i="25"/>
  <c r="J82" i="25"/>
  <c r="J80" i="25"/>
  <c r="J78" i="25"/>
  <c r="J76" i="25"/>
  <c r="J74" i="25"/>
  <c r="J72" i="25"/>
  <c r="J70" i="25"/>
  <c r="J68" i="25"/>
  <c r="J66" i="25"/>
  <c r="J64" i="25"/>
  <c r="J62" i="25"/>
  <c r="J60" i="25"/>
  <c r="J58" i="25"/>
  <c r="J56" i="25"/>
  <c r="J54" i="25"/>
  <c r="J52" i="25"/>
  <c r="J50" i="25"/>
  <c r="J48" i="25"/>
  <c r="J46" i="25"/>
  <c r="J44" i="25"/>
  <c r="J42" i="25"/>
  <c r="J40" i="25"/>
  <c r="J38" i="25"/>
  <c r="J36" i="25"/>
  <c r="J34" i="25"/>
  <c r="J32" i="25"/>
  <c r="J30" i="25"/>
  <c r="J309" i="25"/>
  <c r="J276" i="25"/>
  <c r="I245" i="25"/>
  <c r="J243" i="25"/>
  <c r="J238" i="25"/>
  <c r="I217" i="25"/>
  <c r="I213" i="25"/>
  <c r="I209" i="25"/>
  <c r="I205" i="25"/>
  <c r="I201" i="25"/>
  <c r="I197" i="25"/>
  <c r="I193" i="25"/>
  <c r="I189" i="25"/>
  <c r="I185" i="25"/>
  <c r="I181" i="25"/>
  <c r="I177" i="25"/>
  <c r="I173" i="25"/>
  <c r="I169" i="25"/>
  <c r="I165" i="25"/>
  <c r="I161" i="25"/>
  <c r="I157" i="25"/>
  <c r="I153" i="25"/>
  <c r="I149" i="25"/>
  <c r="I145" i="25"/>
  <c r="I141" i="25"/>
  <c r="I137" i="25"/>
  <c r="I133" i="25"/>
  <c r="I129" i="25"/>
  <c r="I125" i="25"/>
  <c r="I121" i="25"/>
  <c r="J119" i="25"/>
  <c r="I113" i="25"/>
  <c r="I112" i="25"/>
  <c r="J111" i="25"/>
  <c r="I105" i="25"/>
  <c r="I104" i="25"/>
  <c r="J103" i="25"/>
  <c r="I97" i="25"/>
  <c r="I96" i="25"/>
  <c r="J95" i="25"/>
  <c r="I89" i="25"/>
  <c r="I88" i="25"/>
  <c r="J87" i="25"/>
  <c r="I81" i="25"/>
  <c r="I80" i="25"/>
  <c r="J79" i="25"/>
  <c r="I73" i="25"/>
  <c r="I72" i="25"/>
  <c r="J71" i="25"/>
  <c r="I65" i="25"/>
  <c r="I64" i="25"/>
  <c r="I49" i="25"/>
  <c r="I40" i="25"/>
  <c r="I26" i="25"/>
  <c r="I377" i="25"/>
  <c r="J262" i="25"/>
  <c r="I237" i="25"/>
  <c r="J235" i="25"/>
  <c r="J230" i="25"/>
  <c r="I221" i="25"/>
  <c r="J219" i="25"/>
  <c r="J215" i="25"/>
  <c r="J211" i="25"/>
  <c r="J207" i="25"/>
  <c r="J203" i="25"/>
  <c r="J199" i="25"/>
  <c r="J195" i="25"/>
  <c r="J191" i="25"/>
  <c r="J187" i="25"/>
  <c r="J183" i="25"/>
  <c r="J179" i="25"/>
  <c r="J175" i="25"/>
  <c r="J171" i="25"/>
  <c r="J167" i="25"/>
  <c r="J163" i="25"/>
  <c r="J159" i="25"/>
  <c r="J155" i="25"/>
  <c r="J151" i="25"/>
  <c r="J147" i="25"/>
  <c r="J143" i="25"/>
  <c r="J139" i="25"/>
  <c r="J135" i="25"/>
  <c r="J131" i="25"/>
  <c r="J127" i="25"/>
  <c r="J123" i="25"/>
  <c r="I119" i="25"/>
  <c r="I118" i="25"/>
  <c r="J117" i="25"/>
  <c r="I111" i="25"/>
  <c r="I110" i="25"/>
  <c r="J109" i="25"/>
  <c r="I103" i="25"/>
  <c r="I102" i="25"/>
  <c r="J101" i="25"/>
  <c r="I95" i="25"/>
  <c r="I94" i="25"/>
  <c r="J93" i="25"/>
  <c r="I87" i="25"/>
  <c r="I86" i="25"/>
  <c r="J85" i="25"/>
  <c r="I79" i="25"/>
  <c r="I78" i="25"/>
  <c r="J77" i="25"/>
  <c r="I71" i="25"/>
  <c r="I70" i="25"/>
  <c r="J69" i="25"/>
  <c r="I63" i="25"/>
  <c r="I62" i="25"/>
  <c r="J61" i="25"/>
  <c r="I55" i="25"/>
  <c r="I54" i="25"/>
  <c r="J53" i="25"/>
  <c r="I47" i="25"/>
  <c r="I46" i="25"/>
  <c r="J45" i="25"/>
  <c r="J341" i="25"/>
  <c r="I310" i="25"/>
  <c r="I303" i="25"/>
  <c r="J268" i="25"/>
  <c r="I253" i="25"/>
  <c r="J251" i="25"/>
  <c r="J246" i="25"/>
  <c r="I225" i="25"/>
  <c r="J217" i="25"/>
  <c r="J213" i="25"/>
  <c r="J209" i="25"/>
  <c r="J205" i="25"/>
  <c r="J201" i="25"/>
  <c r="J197" i="25"/>
  <c r="J193" i="25"/>
  <c r="J189" i="25"/>
  <c r="J185" i="25"/>
  <c r="J181" i="25"/>
  <c r="J177" i="25"/>
  <c r="J173" i="25"/>
  <c r="J169" i="25"/>
  <c r="J165" i="25"/>
  <c r="J161" i="25"/>
  <c r="J157" i="25"/>
  <c r="J153" i="25"/>
  <c r="J149" i="25"/>
  <c r="J145" i="25"/>
  <c r="J141" i="25"/>
  <c r="J137" i="25"/>
  <c r="J133" i="25"/>
  <c r="J129" i="25"/>
  <c r="J125" i="25"/>
  <c r="J121" i="25"/>
  <c r="I115" i="25"/>
  <c r="I114" i="25"/>
  <c r="J113" i="25"/>
  <c r="I107" i="25"/>
  <c r="I106" i="25"/>
  <c r="J105" i="25"/>
  <c r="I99" i="25"/>
  <c r="I98" i="25"/>
  <c r="J97" i="25"/>
  <c r="I91" i="25"/>
  <c r="I90" i="25"/>
  <c r="J89" i="25"/>
  <c r="I83" i="25"/>
  <c r="I82" i="25"/>
  <c r="J81" i="25"/>
  <c r="I75" i="25"/>
  <c r="I74" i="25"/>
  <c r="J73" i="25"/>
  <c r="I67" i="25"/>
  <c r="I66" i="25"/>
  <c r="J65" i="25"/>
  <c r="I59" i="25"/>
  <c r="I58" i="25"/>
  <c r="J57" i="25"/>
  <c r="I51" i="25"/>
  <c r="I50" i="25"/>
  <c r="J49" i="25"/>
  <c r="I43" i="25"/>
  <c r="I42" i="25"/>
  <c r="J41" i="25"/>
  <c r="I35" i="25"/>
  <c r="I34" i="25"/>
  <c r="J33" i="25"/>
  <c r="J28" i="25"/>
  <c r="J26" i="25"/>
  <c r="J24" i="25"/>
  <c r="J22" i="25"/>
  <c r="J20" i="25"/>
  <c r="J18" i="25"/>
  <c r="J16" i="25"/>
  <c r="J14" i="25"/>
  <c r="J63" i="25"/>
  <c r="I57" i="25"/>
  <c r="I56" i="25"/>
  <c r="J55" i="25"/>
  <c r="I48" i="25"/>
  <c r="J47" i="25"/>
  <c r="I41" i="25"/>
  <c r="J39" i="25"/>
  <c r="I33" i="25"/>
  <c r="I32" i="25"/>
  <c r="J31" i="25"/>
  <c r="I28" i="25"/>
  <c r="I261" i="25"/>
  <c r="J254" i="25"/>
  <c r="I223" i="25"/>
  <c r="I211" i="25"/>
  <c r="I195" i="25"/>
  <c r="I179" i="25"/>
  <c r="I163" i="25"/>
  <c r="I147" i="25"/>
  <c r="I131" i="25"/>
  <c r="I108" i="25"/>
  <c r="J107" i="25"/>
  <c r="I101" i="25"/>
  <c r="I76" i="25"/>
  <c r="J75" i="25"/>
  <c r="I69" i="25"/>
  <c r="I44" i="25"/>
  <c r="J43" i="25"/>
  <c r="I36" i="25"/>
  <c r="I30" i="25"/>
  <c r="J29" i="25"/>
  <c r="J27" i="25"/>
  <c r="I23" i="25"/>
  <c r="I22" i="25"/>
  <c r="I187" i="25"/>
  <c r="I155" i="25"/>
  <c r="I92" i="25"/>
  <c r="I85" i="25"/>
  <c r="J59" i="25"/>
  <c r="I18" i="25"/>
  <c r="I335" i="25"/>
  <c r="I229" i="25"/>
  <c r="I215" i="25"/>
  <c r="I199" i="25"/>
  <c r="I183" i="25"/>
  <c r="I167" i="25"/>
  <c r="I151" i="25"/>
  <c r="I135" i="25"/>
  <c r="I100" i="25"/>
  <c r="J99" i="25"/>
  <c r="I93" i="25"/>
  <c r="I68" i="25"/>
  <c r="J67" i="25"/>
  <c r="I61" i="25"/>
  <c r="I39" i="25"/>
  <c r="J35" i="25"/>
  <c r="I29" i="25"/>
  <c r="I27" i="25"/>
  <c r="I21" i="25"/>
  <c r="I20" i="25"/>
  <c r="J19" i="25"/>
  <c r="I342" i="25"/>
  <c r="J259" i="25"/>
  <c r="I203" i="25"/>
  <c r="I123" i="25"/>
  <c r="J91" i="25"/>
  <c r="I60" i="25"/>
  <c r="I38" i="25"/>
  <c r="J37" i="25"/>
  <c r="I19" i="25"/>
  <c r="I384" i="25"/>
  <c r="J227" i="25"/>
  <c r="I207" i="25"/>
  <c r="I191" i="25"/>
  <c r="I175" i="25"/>
  <c r="I159" i="25"/>
  <c r="I143" i="25"/>
  <c r="I127" i="25"/>
  <c r="I116" i="25"/>
  <c r="J115" i="25"/>
  <c r="I109" i="25"/>
  <c r="I84" i="25"/>
  <c r="J83" i="25"/>
  <c r="I77" i="25"/>
  <c r="I52" i="25"/>
  <c r="J51" i="25"/>
  <c r="I45" i="25"/>
  <c r="I37" i="25"/>
  <c r="I31" i="25"/>
  <c r="I25" i="25"/>
  <c r="I24" i="25"/>
  <c r="J23" i="25"/>
  <c r="I17" i="25"/>
  <c r="I16" i="25"/>
  <c r="J15" i="25"/>
  <c r="J21" i="25"/>
  <c r="I15" i="25"/>
  <c r="I14" i="25"/>
  <c r="J13" i="25"/>
  <c r="I13" i="25"/>
  <c r="I219" i="25"/>
  <c r="I171" i="25"/>
  <c r="I139" i="25"/>
  <c r="I117" i="25"/>
  <c r="I53" i="25"/>
  <c r="J25" i="25"/>
  <c r="J17" i="25"/>
  <c r="I628" i="25"/>
  <c r="J626" i="25"/>
  <c r="I626" i="25"/>
  <c r="J628" i="25"/>
  <c r="J623" i="25"/>
  <c r="I623" i="25"/>
  <c r="J622" i="25"/>
  <c r="I622" i="25"/>
  <c r="B355" i="2"/>
  <c r="F71" i="1"/>
  <c r="F70" i="1"/>
  <c r="A355" i="2"/>
  <c r="B220" i="2"/>
  <c r="B236" i="2"/>
  <c r="C5" i="17"/>
  <c r="E64" i="1"/>
  <c r="C4" i="17"/>
  <c r="D49" i="16" l="1"/>
  <c r="O625" i="25"/>
  <c r="P625" i="25"/>
  <c r="O624" i="25"/>
  <c r="P624" i="25"/>
  <c r="L625" i="25"/>
  <c r="D625" i="25"/>
  <c r="K625" i="25"/>
  <c r="C625" i="25"/>
  <c r="I625" i="25"/>
  <c r="E625" i="25"/>
  <c r="F625" i="25"/>
  <c r="J625" i="25"/>
  <c r="A629" i="25"/>
  <c r="A627" i="25"/>
  <c r="K624" i="25"/>
  <c r="C624" i="25"/>
  <c r="N624" i="25"/>
  <c r="J624" i="25"/>
  <c r="F624" i="25"/>
  <c r="L624" i="25"/>
  <c r="D624" i="25"/>
  <c r="E624" i="25"/>
  <c r="I624" i="25"/>
  <c r="C7" i="17"/>
  <c r="M81" i="17" s="1"/>
  <c r="F72" i="1"/>
  <c r="A629" i="17"/>
  <c r="A627" i="17"/>
  <c r="H627" i="17" s="1"/>
  <c r="J628" i="17"/>
  <c r="I628" i="17"/>
  <c r="K628" i="17"/>
  <c r="L628" i="17"/>
  <c r="J610" i="17"/>
  <c r="I613" i="17"/>
  <c r="J606" i="17"/>
  <c r="J602" i="17"/>
  <c r="J598" i="17"/>
  <c r="C634" i="17"/>
  <c r="I612" i="17"/>
  <c r="I608" i="17"/>
  <c r="I604" i="17"/>
  <c r="I600" i="17"/>
  <c r="I596" i="17"/>
  <c r="J592" i="17"/>
  <c r="J588" i="17"/>
  <c r="J584" i="17"/>
  <c r="J580" i="17"/>
  <c r="J576" i="17"/>
  <c r="J572" i="17"/>
  <c r="J568" i="17"/>
  <c r="J564" i="17"/>
  <c r="J560" i="17"/>
  <c r="J556" i="17"/>
  <c r="J552" i="17"/>
  <c r="J548" i="17"/>
  <c r="J544" i="17"/>
  <c r="J587" i="17"/>
  <c r="J579" i="17"/>
  <c r="J571" i="17"/>
  <c r="J563" i="17"/>
  <c r="J555" i="17"/>
  <c r="J547" i="17"/>
  <c r="J541" i="17"/>
  <c r="J537" i="17"/>
  <c r="J533" i="17"/>
  <c r="J529" i="17"/>
  <c r="J525" i="17"/>
  <c r="J521" i="17"/>
  <c r="I588" i="17"/>
  <c r="I580" i="17"/>
  <c r="I572" i="17"/>
  <c r="I564" i="17"/>
  <c r="I556" i="17"/>
  <c r="I548" i="17"/>
  <c r="J542" i="17"/>
  <c r="J538" i="17"/>
  <c r="J534" i="17"/>
  <c r="J530" i="17"/>
  <c r="J526" i="17"/>
  <c r="J522"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J416" i="17"/>
  <c r="J412" i="17"/>
  <c r="J408" i="17"/>
  <c r="J404" i="17"/>
  <c r="J400" i="17"/>
  <c r="J396" i="17"/>
  <c r="J392" i="17"/>
  <c r="J388" i="17"/>
  <c r="J384" i="17"/>
  <c r="J380" i="17"/>
  <c r="J376" i="17"/>
  <c r="J372" i="17"/>
  <c r="J368" i="17"/>
  <c r="J364" i="17"/>
  <c r="J360" i="17"/>
  <c r="J356" i="17"/>
  <c r="J352" i="17"/>
  <c r="J348" i="17"/>
  <c r="J344" i="17"/>
  <c r="J340" i="17"/>
  <c r="J336" i="17"/>
  <c r="J332" i="17"/>
  <c r="J328" i="17"/>
  <c r="J324" i="17"/>
  <c r="J320" i="17"/>
  <c r="J316"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W624" i="17"/>
  <c r="J611" i="17"/>
  <c r="J607" i="17"/>
  <c r="J603" i="17"/>
  <c r="J599" i="17"/>
  <c r="J612" i="17"/>
  <c r="J608" i="17"/>
  <c r="I609" i="17"/>
  <c r="J604" i="17"/>
  <c r="J600" i="17"/>
  <c r="J596" i="17"/>
  <c r="A624" i="17"/>
  <c r="I610" i="17"/>
  <c r="I606" i="17"/>
  <c r="I602" i="17"/>
  <c r="I598" i="17"/>
  <c r="J594" i="17"/>
  <c r="J590" i="17"/>
  <c r="J586" i="17"/>
  <c r="J582" i="17"/>
  <c r="J578" i="17"/>
  <c r="J574" i="17"/>
  <c r="J570" i="17"/>
  <c r="J566" i="17"/>
  <c r="J562" i="17"/>
  <c r="J558" i="17"/>
  <c r="J554" i="17"/>
  <c r="J550" i="17"/>
  <c r="J546" i="17"/>
  <c r="J591" i="17"/>
  <c r="J583" i="17"/>
  <c r="J575" i="17"/>
  <c r="J567" i="17"/>
  <c r="J559" i="17"/>
  <c r="J551" i="17"/>
  <c r="J543" i="17"/>
  <c r="J539" i="17"/>
  <c r="J535" i="17"/>
  <c r="J531" i="17"/>
  <c r="J527" i="17"/>
  <c r="J523" i="17"/>
  <c r="I592" i="17"/>
  <c r="I584" i="17"/>
  <c r="I576" i="17"/>
  <c r="I568" i="17"/>
  <c r="I560" i="17"/>
  <c r="I552" i="17"/>
  <c r="I544" i="17"/>
  <c r="J540" i="17"/>
  <c r="J536" i="17"/>
  <c r="J532" i="17"/>
  <c r="J528" i="17"/>
  <c r="J524" i="17"/>
  <c r="J520"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J414" i="17"/>
  <c r="J410" i="17"/>
  <c r="J406" i="17"/>
  <c r="J402" i="17"/>
  <c r="J398" i="17"/>
  <c r="J394" i="17"/>
  <c r="J390" i="17"/>
  <c r="J386" i="17"/>
  <c r="J382" i="17"/>
  <c r="J378" i="17"/>
  <c r="J374" i="17"/>
  <c r="J370" i="17"/>
  <c r="J366" i="17"/>
  <c r="J362" i="17"/>
  <c r="J358" i="17"/>
  <c r="J354" i="17"/>
  <c r="J350" i="17"/>
  <c r="J346" i="17"/>
  <c r="J342" i="17"/>
  <c r="J338" i="17"/>
  <c r="J334" i="17"/>
  <c r="J330" i="17"/>
  <c r="J326" i="17"/>
  <c r="J322" i="17"/>
  <c r="J318"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J609" i="17"/>
  <c r="J601" i="17"/>
  <c r="J595" i="17"/>
  <c r="I591" i="17"/>
  <c r="I587" i="17"/>
  <c r="I583" i="17"/>
  <c r="I579" i="17"/>
  <c r="I575" i="17"/>
  <c r="I571" i="17"/>
  <c r="I567" i="17"/>
  <c r="I563" i="17"/>
  <c r="I559" i="17"/>
  <c r="I555" i="17"/>
  <c r="I551" i="17"/>
  <c r="I547" i="17"/>
  <c r="J593" i="17"/>
  <c r="J585" i="17"/>
  <c r="J577" i="17"/>
  <c r="J569" i="17"/>
  <c r="J561" i="17"/>
  <c r="J553" i="17"/>
  <c r="J545" i="17"/>
  <c r="I540" i="17"/>
  <c r="I536" i="17"/>
  <c r="I532" i="17"/>
  <c r="I528" i="17"/>
  <c r="I524" i="17"/>
  <c r="I594" i="17"/>
  <c r="I586" i="17"/>
  <c r="I578" i="17"/>
  <c r="I570" i="17"/>
  <c r="I562" i="17"/>
  <c r="I554" i="17"/>
  <c r="I546" i="17"/>
  <c r="I541" i="17"/>
  <c r="I537" i="17"/>
  <c r="I533" i="17"/>
  <c r="I529" i="17"/>
  <c r="I525" i="17"/>
  <c r="I521" i="17"/>
  <c r="J518" i="17"/>
  <c r="J514" i="17"/>
  <c r="J510" i="17"/>
  <c r="J506" i="17"/>
  <c r="J502" i="17"/>
  <c r="J498" i="17"/>
  <c r="J494" i="17"/>
  <c r="J490" i="17"/>
  <c r="J486" i="17"/>
  <c r="J482" i="17"/>
  <c r="J478" i="17"/>
  <c r="J474" i="17"/>
  <c r="J470" i="17"/>
  <c r="J466" i="17"/>
  <c r="J462" i="17"/>
  <c r="J458" i="17"/>
  <c r="J454" i="17"/>
  <c r="J450" i="17"/>
  <c r="J446" i="17"/>
  <c r="J442" i="17"/>
  <c r="J438" i="17"/>
  <c r="J434" i="17"/>
  <c r="J430" i="17"/>
  <c r="J426" i="17"/>
  <c r="J422" i="17"/>
  <c r="J418" i="17"/>
  <c r="J517" i="17"/>
  <c r="J513" i="17"/>
  <c r="J509" i="17"/>
  <c r="J505" i="17"/>
  <c r="J501" i="17"/>
  <c r="J497" i="17"/>
  <c r="J493" i="17"/>
  <c r="J489" i="17"/>
  <c r="J485" i="17"/>
  <c r="J481" i="17"/>
  <c r="J477" i="17"/>
  <c r="J473" i="17"/>
  <c r="J469" i="17"/>
  <c r="J465" i="17"/>
  <c r="J461" i="17"/>
  <c r="J457" i="17"/>
  <c r="J453" i="17"/>
  <c r="J449" i="17"/>
  <c r="J445" i="17"/>
  <c r="J441" i="17"/>
  <c r="J437" i="17"/>
  <c r="J433" i="17"/>
  <c r="J429" i="17"/>
  <c r="J425" i="17"/>
  <c r="J421" i="17"/>
  <c r="J417" i="17"/>
  <c r="J413" i="17"/>
  <c r="J409" i="17"/>
  <c r="J405" i="17"/>
  <c r="J401" i="17"/>
  <c r="J397" i="17"/>
  <c r="J393" i="17"/>
  <c r="J389" i="17"/>
  <c r="J385" i="17"/>
  <c r="J381" i="17"/>
  <c r="J377" i="17"/>
  <c r="J373" i="17"/>
  <c r="J369" i="17"/>
  <c r="J365" i="17"/>
  <c r="J361" i="17"/>
  <c r="J357" i="17"/>
  <c r="J353" i="17"/>
  <c r="J349" i="17"/>
  <c r="J345" i="17"/>
  <c r="J341" i="17"/>
  <c r="J337" i="17"/>
  <c r="J333" i="17"/>
  <c r="J329" i="17"/>
  <c r="J325" i="17"/>
  <c r="J321" i="17"/>
  <c r="J317"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J311" i="17"/>
  <c r="J307" i="17"/>
  <c r="J303" i="17"/>
  <c r="J299" i="17"/>
  <c r="J295" i="17"/>
  <c r="J291" i="17"/>
  <c r="J287" i="17"/>
  <c r="J283" i="17"/>
  <c r="J279" i="17"/>
  <c r="J275" i="17"/>
  <c r="J271" i="17"/>
  <c r="J267" i="17"/>
  <c r="J263" i="17"/>
  <c r="J259" i="17"/>
  <c r="J255" i="17"/>
  <c r="J251" i="17"/>
  <c r="J247" i="17"/>
  <c r="J243" i="17"/>
  <c r="J239" i="17"/>
  <c r="J235" i="17"/>
  <c r="J231" i="17"/>
  <c r="J227" i="17"/>
  <c r="J223" i="17"/>
  <c r="J219" i="17"/>
  <c r="J215" i="17"/>
  <c r="J211" i="17"/>
  <c r="J207" i="17"/>
  <c r="J203" i="17"/>
  <c r="J199" i="17"/>
  <c r="J195" i="17"/>
  <c r="J191" i="17"/>
  <c r="J187" i="17"/>
  <c r="J183" i="17"/>
  <c r="J179" i="17"/>
  <c r="J175" i="17"/>
  <c r="J171" i="17"/>
  <c r="J167" i="17"/>
  <c r="J163" i="17"/>
  <c r="J159" i="17"/>
  <c r="J155" i="17"/>
  <c r="J151" i="17"/>
  <c r="J147" i="17"/>
  <c r="J143" i="17"/>
  <c r="J139" i="17"/>
  <c r="J135" i="17"/>
  <c r="J131" i="17"/>
  <c r="J127" i="17"/>
  <c r="J123" i="17"/>
  <c r="J119" i="17"/>
  <c r="J115" i="17"/>
  <c r="J111" i="17"/>
  <c r="J312" i="17"/>
  <c r="J308" i="17"/>
  <c r="J304" i="17"/>
  <c r="J300" i="17"/>
  <c r="J296" i="17"/>
  <c r="J292" i="17"/>
  <c r="J288" i="17"/>
  <c r="J284" i="17"/>
  <c r="J280" i="17"/>
  <c r="J276" i="17"/>
  <c r="J272" i="17"/>
  <c r="J268" i="17"/>
  <c r="J264" i="17"/>
  <c r="J260" i="17"/>
  <c r="J256" i="17"/>
  <c r="J252" i="17"/>
  <c r="J248" i="17"/>
  <c r="J244" i="17"/>
  <c r="J240" i="17"/>
  <c r="J236" i="17"/>
  <c r="J232" i="17"/>
  <c r="J228" i="17"/>
  <c r="J224" i="17"/>
  <c r="J220" i="17"/>
  <c r="J216" i="17"/>
  <c r="J212" i="17"/>
  <c r="J208" i="17"/>
  <c r="J204" i="17"/>
  <c r="J200" i="17"/>
  <c r="J196" i="17"/>
  <c r="J192" i="17"/>
  <c r="J188" i="17"/>
  <c r="J184" i="17"/>
  <c r="J180" i="17"/>
  <c r="J176" i="17"/>
  <c r="J172" i="17"/>
  <c r="J168" i="17"/>
  <c r="J164" i="17"/>
  <c r="J160" i="17"/>
  <c r="J156" i="17"/>
  <c r="J152" i="17"/>
  <c r="J148" i="17"/>
  <c r="J144" i="17"/>
  <c r="J140" i="17"/>
  <c r="J136" i="17"/>
  <c r="J132" i="17"/>
  <c r="J128" i="17"/>
  <c r="J124" i="17"/>
  <c r="J120" i="17"/>
  <c r="J116" i="17"/>
  <c r="J112" i="17"/>
  <c r="I135" i="17"/>
  <c r="I127" i="17"/>
  <c r="I119" i="17"/>
  <c r="I111" i="17"/>
  <c r="J16" i="17"/>
  <c r="J20" i="17"/>
  <c r="J24" i="17"/>
  <c r="J28" i="17"/>
  <c r="J32" i="17"/>
  <c r="J36" i="17"/>
  <c r="J40" i="17"/>
  <c r="J44" i="17"/>
  <c r="J48" i="17"/>
  <c r="J52" i="17"/>
  <c r="J56" i="17"/>
  <c r="J60" i="17"/>
  <c r="J64" i="17"/>
  <c r="J68" i="17"/>
  <c r="J72" i="17"/>
  <c r="J76" i="17"/>
  <c r="J80" i="17"/>
  <c r="J84" i="17"/>
  <c r="J88" i="17"/>
  <c r="J92" i="17"/>
  <c r="J96" i="17"/>
  <c r="J100" i="17"/>
  <c r="J104" i="17"/>
  <c r="J108"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J107" i="17"/>
  <c r="J103" i="17"/>
  <c r="J99" i="17"/>
  <c r="J95" i="17"/>
  <c r="J91" i="17"/>
  <c r="J87" i="17"/>
  <c r="J83" i="17"/>
  <c r="J79" i="17"/>
  <c r="J75" i="17"/>
  <c r="J71" i="17"/>
  <c r="J67" i="17"/>
  <c r="J63" i="17"/>
  <c r="J59" i="17"/>
  <c r="J55" i="17"/>
  <c r="J51" i="17"/>
  <c r="J47" i="17"/>
  <c r="J43" i="17"/>
  <c r="J39" i="17"/>
  <c r="J35" i="17"/>
  <c r="J31" i="17"/>
  <c r="J27" i="17"/>
  <c r="J23" i="17"/>
  <c r="J19" i="17"/>
  <c r="J15" i="17"/>
  <c r="I622" i="17"/>
  <c r="J626" i="17"/>
  <c r="I623" i="17"/>
  <c r="I263" i="17"/>
  <c r="I255" i="17"/>
  <c r="I247" i="17"/>
  <c r="I239" i="17"/>
  <c r="I231" i="17"/>
  <c r="I223" i="17"/>
  <c r="I215" i="17"/>
  <c r="I207" i="17"/>
  <c r="I199" i="17"/>
  <c r="I191" i="17"/>
  <c r="I183" i="17"/>
  <c r="I175" i="17"/>
  <c r="I167" i="17"/>
  <c r="I159" i="17"/>
  <c r="I151" i="17"/>
  <c r="I143" i="17"/>
  <c r="I607" i="17"/>
  <c r="I599" i="17"/>
  <c r="J613" i="17"/>
  <c r="J605" i="17"/>
  <c r="J597" i="17"/>
  <c r="I593" i="17"/>
  <c r="I589" i="17"/>
  <c r="I585" i="17"/>
  <c r="I581" i="17"/>
  <c r="I577" i="17"/>
  <c r="I573" i="17"/>
  <c r="I569" i="17"/>
  <c r="I565" i="17"/>
  <c r="I561" i="17"/>
  <c r="I557" i="17"/>
  <c r="I553" i="17"/>
  <c r="I549" i="17"/>
  <c r="I545" i="17"/>
  <c r="J589" i="17"/>
  <c r="J581" i="17"/>
  <c r="J573" i="17"/>
  <c r="J565" i="17"/>
  <c r="J557" i="17"/>
  <c r="J549" i="17"/>
  <c r="I542" i="17"/>
  <c r="I538" i="17"/>
  <c r="I534" i="17"/>
  <c r="I530" i="17"/>
  <c r="I526" i="17"/>
  <c r="I522" i="17"/>
  <c r="I590" i="17"/>
  <c r="I582" i="17"/>
  <c r="I574" i="17"/>
  <c r="I566" i="17"/>
  <c r="I558" i="17"/>
  <c r="I550" i="17"/>
  <c r="I543" i="17"/>
  <c r="I539" i="17"/>
  <c r="I535" i="17"/>
  <c r="I531" i="17"/>
  <c r="I527" i="17"/>
  <c r="I523" i="17"/>
  <c r="I519" i="17"/>
  <c r="J516" i="17"/>
  <c r="J512" i="17"/>
  <c r="J508" i="17"/>
  <c r="J504" i="17"/>
  <c r="J500" i="17"/>
  <c r="J496" i="17"/>
  <c r="J492" i="17"/>
  <c r="J488" i="17"/>
  <c r="J484" i="17"/>
  <c r="J480" i="17"/>
  <c r="J476" i="17"/>
  <c r="J472" i="17"/>
  <c r="J468" i="17"/>
  <c r="J464" i="17"/>
  <c r="J460" i="17"/>
  <c r="J456" i="17"/>
  <c r="J452" i="17"/>
  <c r="J448" i="17"/>
  <c r="J444" i="17"/>
  <c r="J440" i="17"/>
  <c r="J436" i="17"/>
  <c r="J432" i="17"/>
  <c r="J428" i="17"/>
  <c r="J424" i="17"/>
  <c r="J420" i="17"/>
  <c r="J519" i="17"/>
  <c r="J515" i="17"/>
  <c r="J511" i="17"/>
  <c r="J507" i="17"/>
  <c r="J503" i="17"/>
  <c r="J499" i="17"/>
  <c r="J495" i="17"/>
  <c r="J491" i="17"/>
  <c r="J487" i="17"/>
  <c r="J483" i="17"/>
  <c r="J479" i="17"/>
  <c r="J475" i="17"/>
  <c r="J471" i="17"/>
  <c r="J467" i="17"/>
  <c r="J463" i="17"/>
  <c r="J459" i="17"/>
  <c r="J455" i="17"/>
  <c r="J451" i="17"/>
  <c r="J447" i="17"/>
  <c r="J443" i="17"/>
  <c r="J439" i="17"/>
  <c r="J435" i="17"/>
  <c r="J431" i="17"/>
  <c r="J427" i="17"/>
  <c r="J423" i="17"/>
  <c r="J419" i="17"/>
  <c r="J415" i="17"/>
  <c r="J411" i="17"/>
  <c r="J407" i="17"/>
  <c r="J403" i="17"/>
  <c r="J399" i="17"/>
  <c r="J395" i="17"/>
  <c r="J391" i="17"/>
  <c r="J387" i="17"/>
  <c r="J383" i="17"/>
  <c r="J379" i="17"/>
  <c r="J375" i="17"/>
  <c r="J371" i="17"/>
  <c r="J367" i="17"/>
  <c r="J363" i="17"/>
  <c r="J359" i="17"/>
  <c r="J355" i="17"/>
  <c r="J351" i="17"/>
  <c r="J347" i="17"/>
  <c r="J343" i="17"/>
  <c r="J339" i="17"/>
  <c r="J335" i="17"/>
  <c r="J331" i="17"/>
  <c r="J327" i="17"/>
  <c r="J323" i="17"/>
  <c r="J319" i="17"/>
  <c r="J315" i="17"/>
  <c r="I413" i="17"/>
  <c r="I409" i="17"/>
  <c r="I405" i="17"/>
  <c r="I401" i="17"/>
  <c r="I397" i="17"/>
  <c r="I393" i="17"/>
  <c r="I385" i="17"/>
  <c r="I377" i="17"/>
  <c r="I369" i="17"/>
  <c r="I361" i="17"/>
  <c r="I353" i="17"/>
  <c r="I345" i="17"/>
  <c r="I337" i="17"/>
  <c r="I329" i="17"/>
  <c r="I321" i="17"/>
  <c r="J313" i="17"/>
  <c r="J305" i="17"/>
  <c r="J297" i="17"/>
  <c r="J289" i="17"/>
  <c r="J281" i="17"/>
  <c r="J273" i="17"/>
  <c r="J265" i="17"/>
  <c r="J257" i="17"/>
  <c r="J249" i="17"/>
  <c r="J241" i="17"/>
  <c r="J233" i="17"/>
  <c r="J225" i="17"/>
  <c r="J217" i="17"/>
  <c r="J209" i="17"/>
  <c r="J201" i="17"/>
  <c r="J193" i="17"/>
  <c r="J185" i="17"/>
  <c r="J177" i="17"/>
  <c r="J169" i="17"/>
  <c r="J161" i="17"/>
  <c r="J153" i="17"/>
  <c r="J145" i="17"/>
  <c r="J137" i="17"/>
  <c r="J129" i="17"/>
  <c r="J121" i="17"/>
  <c r="J113" i="17"/>
  <c r="J310" i="17"/>
  <c r="J302" i="17"/>
  <c r="J294" i="17"/>
  <c r="J286" i="17"/>
  <c r="J278" i="17"/>
  <c r="J270" i="17"/>
  <c r="J262" i="17"/>
  <c r="J254" i="17"/>
  <c r="J246" i="17"/>
  <c r="J238" i="17"/>
  <c r="J230" i="17"/>
  <c r="J222" i="17"/>
  <c r="J214" i="17"/>
  <c r="J206" i="17"/>
  <c r="J198" i="17"/>
  <c r="J190" i="17"/>
  <c r="J182" i="17"/>
  <c r="J174" i="17"/>
  <c r="J166" i="17"/>
  <c r="J158" i="17"/>
  <c r="J150" i="17"/>
  <c r="J142" i="17"/>
  <c r="J134" i="17"/>
  <c r="J126" i="17"/>
  <c r="J118" i="17"/>
  <c r="J110" i="17"/>
  <c r="I123" i="17"/>
  <c r="J14" i="17"/>
  <c r="J22" i="17"/>
  <c r="J30" i="17"/>
  <c r="J38" i="17"/>
  <c r="J46" i="17"/>
  <c r="J54" i="17"/>
  <c r="J62" i="17"/>
  <c r="J70" i="17"/>
  <c r="J78" i="17"/>
  <c r="J86" i="17"/>
  <c r="J94" i="17"/>
  <c r="J102"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J109" i="17"/>
  <c r="J101" i="17"/>
  <c r="J93" i="17"/>
  <c r="J85" i="17"/>
  <c r="J77" i="17"/>
  <c r="J69" i="17"/>
  <c r="J61" i="17"/>
  <c r="J53" i="17"/>
  <c r="J45" i="17"/>
  <c r="J37" i="17"/>
  <c r="J29" i="17"/>
  <c r="J21" i="17"/>
  <c r="J13" i="17"/>
  <c r="I626" i="17"/>
  <c r="J622" i="17"/>
  <c r="I389" i="17"/>
  <c r="I381" i="17"/>
  <c r="I373" i="17"/>
  <c r="I365" i="17"/>
  <c r="I357" i="17"/>
  <c r="I349" i="17"/>
  <c r="I341" i="17"/>
  <c r="I333" i="17"/>
  <c r="I325" i="17"/>
  <c r="I317" i="17"/>
  <c r="J309" i="17"/>
  <c r="J301" i="17"/>
  <c r="J293" i="17"/>
  <c r="J285" i="17"/>
  <c r="J277" i="17"/>
  <c r="J269" i="17"/>
  <c r="J261" i="17"/>
  <c r="J253" i="17"/>
  <c r="J245" i="17"/>
  <c r="J237" i="17"/>
  <c r="J229" i="17"/>
  <c r="J221" i="17"/>
  <c r="J213" i="17"/>
  <c r="J205" i="17"/>
  <c r="J197" i="17"/>
  <c r="J189" i="17"/>
  <c r="J181" i="17"/>
  <c r="J173" i="17"/>
  <c r="J165" i="17"/>
  <c r="J157" i="17"/>
  <c r="J149" i="17"/>
  <c r="J141" i="17"/>
  <c r="J133" i="17"/>
  <c r="J125" i="17"/>
  <c r="J117" i="17"/>
  <c r="J314" i="17"/>
  <c r="J306" i="17"/>
  <c r="J298" i="17"/>
  <c r="J290" i="17"/>
  <c r="J282" i="17"/>
  <c r="J274" i="17"/>
  <c r="J266" i="17"/>
  <c r="J258" i="17"/>
  <c r="J250" i="17"/>
  <c r="J242" i="17"/>
  <c r="J234" i="17"/>
  <c r="J226" i="17"/>
  <c r="J218" i="17"/>
  <c r="J210" i="17"/>
  <c r="J202" i="17"/>
  <c r="J194" i="17"/>
  <c r="J186" i="17"/>
  <c r="J178" i="17"/>
  <c r="J170" i="17"/>
  <c r="J162" i="17"/>
  <c r="J154" i="17"/>
  <c r="J146" i="17"/>
  <c r="J138" i="17"/>
  <c r="J130" i="17"/>
  <c r="J122" i="17"/>
  <c r="J114" i="17"/>
  <c r="I131" i="17"/>
  <c r="I115" i="17"/>
  <c r="J18" i="17"/>
  <c r="J26" i="17"/>
  <c r="J34" i="17"/>
  <c r="J42" i="17"/>
  <c r="J50" i="17"/>
  <c r="J58" i="17"/>
  <c r="J66" i="17"/>
  <c r="J74" i="17"/>
  <c r="J82" i="17"/>
  <c r="J90" i="17"/>
  <c r="J98" i="17"/>
  <c r="J106"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J105" i="17"/>
  <c r="J97" i="17"/>
  <c r="J89" i="17"/>
  <c r="J81" i="17"/>
  <c r="J73" i="17"/>
  <c r="J65" i="17"/>
  <c r="J57" i="17"/>
  <c r="J49" i="17"/>
  <c r="J41" i="17"/>
  <c r="J33" i="17"/>
  <c r="J25" i="17"/>
  <c r="J17" i="17"/>
  <c r="J623" i="17"/>
  <c r="L610" i="17"/>
  <c r="K379" i="17"/>
  <c r="L386" i="17"/>
  <c r="L123" i="17"/>
  <c r="W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A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H627" i="25" l="1"/>
  <c r="G627" i="25"/>
  <c r="P627" i="25"/>
  <c r="O627" i="25"/>
  <c r="Y624" i="25"/>
  <c r="N613" i="25"/>
  <c r="N611" i="25"/>
  <c r="N609" i="25"/>
  <c r="M613" i="25"/>
  <c r="M611" i="25"/>
  <c r="M609" i="25"/>
  <c r="M612" i="25"/>
  <c r="M610" i="25"/>
  <c r="M608" i="25"/>
  <c r="M605" i="25"/>
  <c r="M603" i="25"/>
  <c r="M601" i="25"/>
  <c r="M599" i="25"/>
  <c r="M597" i="25"/>
  <c r="N610" i="25"/>
  <c r="N606" i="25"/>
  <c r="N604" i="25"/>
  <c r="N602" i="25"/>
  <c r="N600" i="25"/>
  <c r="N598" i="25"/>
  <c r="N608" i="25"/>
  <c r="M607" i="25"/>
  <c r="N605" i="25"/>
  <c r="N603" i="25"/>
  <c r="N601" i="25"/>
  <c r="N599" i="25"/>
  <c r="N597" i="25"/>
  <c r="N595" i="25"/>
  <c r="N593" i="25"/>
  <c r="N607" i="25"/>
  <c r="M604" i="25"/>
  <c r="M596" i="25"/>
  <c r="M595" i="25"/>
  <c r="N594" i="25"/>
  <c r="N590" i="25"/>
  <c r="N588" i="25"/>
  <c r="N586" i="25"/>
  <c r="M606" i="25"/>
  <c r="M598" i="25"/>
  <c r="M594" i="25"/>
  <c r="M593" i="25"/>
  <c r="N592" i="25"/>
  <c r="M590" i="25"/>
  <c r="M588" i="25"/>
  <c r="M586" i="25"/>
  <c r="M584" i="25"/>
  <c r="M602" i="25"/>
  <c r="N596" i="25"/>
  <c r="M591" i="25"/>
  <c r="M589" i="25"/>
  <c r="M587" i="25"/>
  <c r="M585" i="25"/>
  <c r="M583" i="25"/>
  <c r="M581" i="25"/>
  <c r="M579" i="25"/>
  <c r="M577" i="25"/>
  <c r="N612" i="25"/>
  <c r="N591" i="25"/>
  <c r="N582" i="25"/>
  <c r="N577" i="25"/>
  <c r="M575" i="25"/>
  <c r="M573" i="25"/>
  <c r="M571" i="25"/>
  <c r="M569" i="25"/>
  <c r="M567" i="25"/>
  <c r="M565" i="25"/>
  <c r="M563" i="25"/>
  <c r="M561" i="25"/>
  <c r="M559" i="25"/>
  <c r="M557" i="25"/>
  <c r="M600" i="25"/>
  <c r="N585" i="25"/>
  <c r="N583" i="25"/>
  <c r="M582" i="25"/>
  <c r="N580" i="25"/>
  <c r="N576" i="25"/>
  <c r="N574" i="25"/>
  <c r="N572" i="25"/>
  <c r="N570" i="25"/>
  <c r="N568" i="25"/>
  <c r="N566" i="25"/>
  <c r="M592" i="25"/>
  <c r="N589" i="25"/>
  <c r="N579" i="25"/>
  <c r="M578" i="25"/>
  <c r="N575" i="25"/>
  <c r="N573" i="25"/>
  <c r="N571" i="25"/>
  <c r="N569" i="25"/>
  <c r="N567" i="25"/>
  <c r="N584" i="25"/>
  <c r="M576" i="25"/>
  <c r="M568" i="25"/>
  <c r="N563" i="25"/>
  <c r="M562" i="25"/>
  <c r="N560" i="25"/>
  <c r="M556" i="25"/>
  <c r="M554" i="25"/>
  <c r="M552" i="25"/>
  <c r="M550" i="25"/>
  <c r="M548" i="25"/>
  <c r="M546" i="25"/>
  <c r="M544" i="25"/>
  <c r="M542" i="25"/>
  <c r="M540" i="25"/>
  <c r="M538" i="25"/>
  <c r="M536" i="25"/>
  <c r="M534" i="25"/>
  <c r="M532" i="25"/>
  <c r="M530" i="25"/>
  <c r="M528" i="25"/>
  <c r="M526" i="25"/>
  <c r="M570" i="25"/>
  <c r="N561" i="25"/>
  <c r="M560" i="25"/>
  <c r="N558" i="25"/>
  <c r="N555" i="25"/>
  <c r="N553" i="25"/>
  <c r="N551" i="25"/>
  <c r="N549" i="25"/>
  <c r="N547" i="25"/>
  <c r="N545" i="25"/>
  <c r="N543" i="25"/>
  <c r="N541" i="25"/>
  <c r="N539" i="25"/>
  <c r="N587" i="25"/>
  <c r="N578" i="25"/>
  <c r="M574" i="25"/>
  <c r="M566" i="25"/>
  <c r="N565" i="25"/>
  <c r="M564" i="25"/>
  <c r="N562" i="25"/>
  <c r="N557" i="25"/>
  <c r="N556" i="25"/>
  <c r="N554" i="25"/>
  <c r="N552" i="25"/>
  <c r="N550" i="25"/>
  <c r="N548" i="25"/>
  <c r="N546" i="25"/>
  <c r="N544" i="25"/>
  <c r="N542" i="25"/>
  <c r="N540" i="25"/>
  <c r="M549" i="25"/>
  <c r="M541" i="25"/>
  <c r="N534" i="25"/>
  <c r="M533" i="25"/>
  <c r="N531" i="25"/>
  <c r="N526" i="25"/>
  <c r="M525" i="25"/>
  <c r="N524" i="25"/>
  <c r="M572" i="25"/>
  <c r="N564" i="25"/>
  <c r="N559" i="25"/>
  <c r="M558" i="25"/>
  <c r="M551" i="25"/>
  <c r="M543" i="25"/>
  <c r="N537" i="25"/>
  <c r="N532" i="25"/>
  <c r="M531" i="25"/>
  <c r="N529" i="25"/>
  <c r="M524" i="25"/>
  <c r="M580" i="25"/>
  <c r="M555" i="25"/>
  <c r="M547" i="25"/>
  <c r="M539" i="25"/>
  <c r="N536" i="25"/>
  <c r="M535" i="25"/>
  <c r="N533" i="25"/>
  <c r="N528" i="25"/>
  <c r="M527" i="25"/>
  <c r="N525" i="25"/>
  <c r="M523" i="25"/>
  <c r="M521" i="25"/>
  <c r="M519" i="25"/>
  <c r="M517" i="25"/>
  <c r="M515" i="25"/>
  <c r="M513" i="25"/>
  <c r="N581" i="25"/>
  <c r="M545" i="25"/>
  <c r="N527" i="25"/>
  <c r="N521" i="25"/>
  <c r="M520" i="25"/>
  <c r="N518" i="25"/>
  <c r="N513" i="25"/>
  <c r="M512" i="25"/>
  <c r="M510" i="25"/>
  <c r="M508" i="25"/>
  <c r="M506" i="25"/>
  <c r="M504" i="25"/>
  <c r="M502" i="25"/>
  <c r="M500" i="25"/>
  <c r="M498" i="25"/>
  <c r="M496" i="25"/>
  <c r="M494" i="25"/>
  <c r="M492" i="25"/>
  <c r="M490" i="25"/>
  <c r="M488" i="25"/>
  <c r="M486" i="25"/>
  <c r="M484" i="25"/>
  <c r="M482" i="25"/>
  <c r="M480" i="25"/>
  <c r="M478" i="25"/>
  <c r="M476" i="25"/>
  <c r="M474" i="25"/>
  <c r="M472" i="25"/>
  <c r="M470" i="25"/>
  <c r="M468" i="25"/>
  <c r="M466" i="25"/>
  <c r="M464" i="25"/>
  <c r="M553" i="25"/>
  <c r="N519" i="25"/>
  <c r="M518" i="25"/>
  <c r="N516" i="25"/>
  <c r="N511" i="25"/>
  <c r="N509" i="25"/>
  <c r="N507" i="25"/>
  <c r="N505" i="25"/>
  <c r="N503" i="25"/>
  <c r="N501" i="25"/>
  <c r="N499" i="25"/>
  <c r="N497" i="25"/>
  <c r="N495" i="25"/>
  <c r="N493" i="25"/>
  <c r="N491" i="25"/>
  <c r="N489" i="25"/>
  <c r="N487" i="25"/>
  <c r="N485" i="25"/>
  <c r="N483" i="25"/>
  <c r="N535" i="25"/>
  <c r="N530" i="25"/>
  <c r="M529" i="25"/>
  <c r="N523" i="25"/>
  <c r="M522" i="25"/>
  <c r="N520" i="25"/>
  <c r="N515" i="25"/>
  <c r="M514" i="25"/>
  <c r="N512" i="25"/>
  <c r="N510" i="25"/>
  <c r="N508" i="25"/>
  <c r="N506" i="25"/>
  <c r="N504" i="25"/>
  <c r="N502" i="25"/>
  <c r="N500" i="25"/>
  <c r="N498" i="25"/>
  <c r="N496" i="25"/>
  <c r="N494" i="25"/>
  <c r="N492" i="25"/>
  <c r="N490" i="25"/>
  <c r="N488" i="25"/>
  <c r="N486" i="25"/>
  <c r="N538" i="25"/>
  <c r="M509" i="25"/>
  <c r="M501" i="25"/>
  <c r="M493" i="25"/>
  <c r="M485" i="25"/>
  <c r="N484" i="25"/>
  <c r="N478" i="25"/>
  <c r="M477" i="25"/>
  <c r="N475" i="25"/>
  <c r="N470" i="25"/>
  <c r="M469" i="25"/>
  <c r="N467" i="25"/>
  <c r="N463" i="25"/>
  <c r="N461" i="25"/>
  <c r="N459" i="25"/>
  <c r="N457" i="25"/>
  <c r="N455" i="25"/>
  <c r="N453" i="25"/>
  <c r="N451" i="25"/>
  <c r="N449" i="25"/>
  <c r="N447" i="25"/>
  <c r="N445" i="25"/>
  <c r="N443" i="25"/>
  <c r="N441" i="25"/>
  <c r="N439" i="25"/>
  <c r="N437" i="25"/>
  <c r="N435" i="25"/>
  <c r="N433" i="25"/>
  <c r="N431" i="25"/>
  <c r="N429" i="25"/>
  <c r="N427" i="25"/>
  <c r="N425" i="25"/>
  <c r="N423" i="25"/>
  <c r="N421" i="25"/>
  <c r="N419" i="25"/>
  <c r="N417" i="25"/>
  <c r="N415" i="25"/>
  <c r="N413" i="25"/>
  <c r="N411" i="25"/>
  <c r="N409" i="25"/>
  <c r="N407" i="25"/>
  <c r="N405" i="25"/>
  <c r="N403" i="25"/>
  <c r="N401" i="25"/>
  <c r="M537" i="25"/>
  <c r="M511" i="25"/>
  <c r="M503" i="25"/>
  <c r="M495" i="25"/>
  <c r="M487" i="25"/>
  <c r="N481" i="25"/>
  <c r="N476" i="25"/>
  <c r="M475" i="25"/>
  <c r="N473" i="25"/>
  <c r="N468" i="25"/>
  <c r="M467" i="25"/>
  <c r="N465" i="25"/>
  <c r="M463" i="25"/>
  <c r="M461" i="25"/>
  <c r="M459" i="25"/>
  <c r="M457" i="25"/>
  <c r="M455" i="25"/>
  <c r="M453" i="25"/>
  <c r="M451" i="25"/>
  <c r="M449" i="25"/>
  <c r="M447" i="25"/>
  <c r="M445" i="25"/>
  <c r="M443" i="25"/>
  <c r="M441" i="25"/>
  <c r="M439" i="25"/>
  <c r="M437" i="25"/>
  <c r="M435" i="25"/>
  <c r="M433" i="25"/>
  <c r="M431" i="25"/>
  <c r="M429" i="25"/>
  <c r="N514" i="25"/>
  <c r="M507" i="25"/>
  <c r="M499" i="25"/>
  <c r="M491" i="25"/>
  <c r="N480" i="25"/>
  <c r="M479" i="25"/>
  <c r="N477" i="25"/>
  <c r="N472" i="25"/>
  <c r="M471" i="25"/>
  <c r="N469" i="25"/>
  <c r="N464" i="25"/>
  <c r="M462" i="25"/>
  <c r="M460" i="25"/>
  <c r="M458" i="25"/>
  <c r="M456" i="25"/>
  <c r="M454" i="25"/>
  <c r="M452" i="25"/>
  <c r="M450" i="25"/>
  <c r="M448" i="25"/>
  <c r="M446" i="25"/>
  <c r="M444" i="25"/>
  <c r="M442" i="25"/>
  <c r="M440" i="25"/>
  <c r="M438" i="25"/>
  <c r="M436" i="25"/>
  <c r="M434" i="25"/>
  <c r="M432" i="25"/>
  <c r="M430" i="25"/>
  <c r="N517" i="25"/>
  <c r="M489" i="25"/>
  <c r="N479" i="25"/>
  <c r="N474" i="25"/>
  <c r="M473" i="25"/>
  <c r="N462" i="25"/>
  <c r="N454" i="25"/>
  <c r="N446" i="25"/>
  <c r="N438" i="25"/>
  <c r="N430" i="25"/>
  <c r="N428" i="25"/>
  <c r="M426" i="25"/>
  <c r="M425" i="25"/>
  <c r="N424" i="25"/>
  <c r="M418" i="25"/>
  <c r="M417" i="25"/>
  <c r="N416" i="25"/>
  <c r="M410" i="25"/>
  <c r="M409" i="25"/>
  <c r="N408" i="25"/>
  <c r="M402" i="25"/>
  <c r="M401" i="25"/>
  <c r="N522" i="25"/>
  <c r="M516" i="25"/>
  <c r="M497" i="25"/>
  <c r="M483" i="25"/>
  <c r="N471" i="25"/>
  <c r="N466" i="25"/>
  <c r="M465" i="25"/>
  <c r="N456" i="25"/>
  <c r="N448" i="25"/>
  <c r="N440" i="25"/>
  <c r="N432" i="25"/>
  <c r="M428" i="25"/>
  <c r="M424" i="25"/>
  <c r="M423" i="25"/>
  <c r="N422" i="25"/>
  <c r="M416" i="25"/>
  <c r="M415" i="25"/>
  <c r="N414" i="25"/>
  <c r="M408" i="25"/>
  <c r="M407" i="25"/>
  <c r="N406" i="25"/>
  <c r="N482" i="25"/>
  <c r="M481" i="25"/>
  <c r="N460" i="25"/>
  <c r="N452" i="25"/>
  <c r="N444" i="25"/>
  <c r="N436" i="25"/>
  <c r="M427" i="25"/>
  <c r="N426" i="25"/>
  <c r="M420" i="25"/>
  <c r="M419" i="25"/>
  <c r="N418" i="25"/>
  <c r="M412" i="25"/>
  <c r="M411" i="25"/>
  <c r="N410" i="25"/>
  <c r="M404" i="25"/>
  <c r="M403" i="25"/>
  <c r="N402" i="25"/>
  <c r="N398" i="25"/>
  <c r="N396" i="25"/>
  <c r="N394" i="25"/>
  <c r="N392" i="25"/>
  <c r="N390" i="25"/>
  <c r="N388" i="25"/>
  <c r="N386" i="25"/>
  <c r="N384" i="25"/>
  <c r="N382" i="25"/>
  <c r="N380" i="25"/>
  <c r="N378" i="25"/>
  <c r="N376" i="25"/>
  <c r="N458" i="25"/>
  <c r="M414" i="25"/>
  <c r="M413" i="25"/>
  <c r="N412" i="25"/>
  <c r="M400" i="25"/>
  <c r="M399" i="25"/>
  <c r="M398" i="25"/>
  <c r="N397" i="25"/>
  <c r="M391" i="25"/>
  <c r="M390" i="25"/>
  <c r="N389" i="25"/>
  <c r="M383" i="25"/>
  <c r="M382" i="25"/>
  <c r="N381" i="25"/>
  <c r="M375" i="25"/>
  <c r="N374" i="25"/>
  <c r="N372" i="25"/>
  <c r="N370" i="25"/>
  <c r="N368" i="25"/>
  <c r="N366" i="25"/>
  <c r="N364" i="25"/>
  <c r="N362" i="25"/>
  <c r="N360" i="25"/>
  <c r="N358" i="25"/>
  <c r="N356" i="25"/>
  <c r="N354" i="25"/>
  <c r="N352" i="25"/>
  <c r="N350" i="25"/>
  <c r="N348" i="25"/>
  <c r="N346" i="25"/>
  <c r="N344" i="25"/>
  <c r="N342" i="25"/>
  <c r="N340" i="25"/>
  <c r="N338" i="25"/>
  <c r="N336" i="25"/>
  <c r="N334" i="25"/>
  <c r="N332" i="25"/>
  <c r="N330" i="25"/>
  <c r="N328" i="25"/>
  <c r="N326" i="25"/>
  <c r="N324" i="25"/>
  <c r="N322" i="25"/>
  <c r="N320" i="25"/>
  <c r="N318" i="25"/>
  <c r="N316" i="25"/>
  <c r="N314" i="25"/>
  <c r="N312" i="25"/>
  <c r="N310" i="25"/>
  <c r="N308" i="25"/>
  <c r="N306" i="25"/>
  <c r="N304" i="25"/>
  <c r="N302" i="25"/>
  <c r="N300" i="25"/>
  <c r="N298" i="25"/>
  <c r="N296" i="25"/>
  <c r="N294" i="25"/>
  <c r="N292" i="25"/>
  <c r="N290" i="25"/>
  <c r="N288" i="25"/>
  <c r="N286" i="25"/>
  <c r="N284" i="25"/>
  <c r="N282" i="25"/>
  <c r="N280" i="25"/>
  <c r="N434" i="25"/>
  <c r="M406" i="25"/>
  <c r="M405" i="25"/>
  <c r="N404" i="25"/>
  <c r="M397" i="25"/>
  <c r="M396" i="25"/>
  <c r="N395" i="25"/>
  <c r="M389" i="25"/>
  <c r="M388" i="25"/>
  <c r="N387" i="25"/>
  <c r="M381" i="25"/>
  <c r="M380" i="25"/>
  <c r="N379" i="25"/>
  <c r="M374" i="25"/>
  <c r="M372" i="25"/>
  <c r="M370" i="25"/>
  <c r="M368" i="25"/>
  <c r="M366" i="25"/>
  <c r="N450" i="25"/>
  <c r="M422" i="25"/>
  <c r="M421" i="25"/>
  <c r="N420" i="25"/>
  <c r="N400" i="25"/>
  <c r="N399" i="25"/>
  <c r="M393" i="25"/>
  <c r="M392" i="25"/>
  <c r="N391" i="25"/>
  <c r="M385" i="25"/>
  <c r="M384" i="25"/>
  <c r="N383" i="25"/>
  <c r="M377" i="25"/>
  <c r="M376" i="25"/>
  <c r="N375" i="25"/>
  <c r="M373" i="25"/>
  <c r="M371" i="25"/>
  <c r="M369" i="25"/>
  <c r="M367" i="25"/>
  <c r="M365" i="25"/>
  <c r="M363" i="25"/>
  <c r="M361" i="25"/>
  <c r="M359" i="25"/>
  <c r="M357" i="25"/>
  <c r="M355" i="25"/>
  <c r="M353" i="25"/>
  <c r="M351" i="25"/>
  <c r="M349" i="25"/>
  <c r="M347" i="25"/>
  <c r="M345" i="25"/>
  <c r="M387" i="25"/>
  <c r="M386" i="25"/>
  <c r="N385" i="25"/>
  <c r="N371" i="25"/>
  <c r="M341" i="25"/>
  <c r="M340" i="25"/>
  <c r="N339" i="25"/>
  <c r="M333" i="25"/>
  <c r="M332" i="25"/>
  <c r="N331" i="25"/>
  <c r="M325" i="25"/>
  <c r="M324" i="25"/>
  <c r="N323" i="25"/>
  <c r="M317" i="25"/>
  <c r="M316" i="25"/>
  <c r="N315" i="25"/>
  <c r="M309" i="25"/>
  <c r="M308" i="25"/>
  <c r="N307" i="25"/>
  <c r="M301" i="25"/>
  <c r="M300" i="25"/>
  <c r="N299" i="25"/>
  <c r="M293" i="25"/>
  <c r="M292" i="25"/>
  <c r="N291" i="25"/>
  <c r="M285" i="25"/>
  <c r="M284" i="25"/>
  <c r="N283" i="25"/>
  <c r="N277" i="25"/>
  <c r="N275" i="25"/>
  <c r="N273" i="25"/>
  <c r="N271" i="25"/>
  <c r="N269" i="25"/>
  <c r="N267" i="25"/>
  <c r="N265" i="25"/>
  <c r="M379" i="25"/>
  <c r="M378" i="25"/>
  <c r="N377" i="25"/>
  <c r="N373" i="25"/>
  <c r="N365" i="25"/>
  <c r="M362" i="25"/>
  <c r="N361" i="25"/>
  <c r="M358" i="25"/>
  <c r="N357" i="25"/>
  <c r="M354" i="25"/>
  <c r="N353" i="25"/>
  <c r="M350" i="25"/>
  <c r="N349" i="25"/>
  <c r="M346" i="25"/>
  <c r="N345" i="25"/>
  <c r="M339" i="25"/>
  <c r="M338" i="25"/>
  <c r="N337" i="25"/>
  <c r="M331" i="25"/>
  <c r="M330" i="25"/>
  <c r="N329" i="25"/>
  <c r="M323" i="25"/>
  <c r="M322" i="25"/>
  <c r="N321" i="25"/>
  <c r="M315" i="25"/>
  <c r="M314" i="25"/>
  <c r="N313" i="25"/>
  <c r="M307" i="25"/>
  <c r="M306" i="25"/>
  <c r="N305" i="25"/>
  <c r="M299" i="25"/>
  <c r="M298" i="25"/>
  <c r="N297" i="25"/>
  <c r="M291" i="25"/>
  <c r="M290" i="25"/>
  <c r="N289" i="25"/>
  <c r="M283" i="25"/>
  <c r="M282" i="25"/>
  <c r="N281" i="25"/>
  <c r="M277" i="25"/>
  <c r="M275" i="25"/>
  <c r="M273" i="25"/>
  <c r="M271" i="25"/>
  <c r="M269" i="25"/>
  <c r="M267" i="25"/>
  <c r="M265" i="25"/>
  <c r="M505" i="25"/>
  <c r="N442" i="25"/>
  <c r="M395" i="25"/>
  <c r="M394" i="25"/>
  <c r="N393" i="25"/>
  <c r="N369" i="25"/>
  <c r="M364" i="25"/>
  <c r="N363" i="25"/>
  <c r="M360" i="25"/>
  <c r="N359" i="25"/>
  <c r="M356" i="25"/>
  <c r="N355" i="25"/>
  <c r="M352" i="25"/>
  <c r="N351" i="25"/>
  <c r="M348" i="25"/>
  <c r="N347" i="25"/>
  <c r="M344" i="25"/>
  <c r="M343" i="25"/>
  <c r="M342" i="25"/>
  <c r="N341" i="25"/>
  <c r="M335" i="25"/>
  <c r="M334" i="25"/>
  <c r="N333" i="25"/>
  <c r="M327" i="25"/>
  <c r="M326" i="25"/>
  <c r="N325" i="25"/>
  <c r="M319" i="25"/>
  <c r="M318" i="25"/>
  <c r="N317" i="25"/>
  <c r="M311" i="25"/>
  <c r="M310" i="25"/>
  <c r="N309" i="25"/>
  <c r="M303" i="25"/>
  <c r="M302" i="25"/>
  <c r="N301" i="25"/>
  <c r="M295" i="25"/>
  <c r="M294" i="25"/>
  <c r="N293" i="25"/>
  <c r="M287" i="25"/>
  <c r="M286" i="25"/>
  <c r="N285" i="25"/>
  <c r="M279" i="25"/>
  <c r="M278" i="25"/>
  <c r="M276" i="25"/>
  <c r="M274" i="25"/>
  <c r="M272" i="25"/>
  <c r="M270" i="25"/>
  <c r="M268" i="25"/>
  <c r="M266" i="25"/>
  <c r="M264" i="25"/>
  <c r="M262" i="25"/>
  <c r="M260" i="25"/>
  <c r="M258" i="25"/>
  <c r="M256" i="25"/>
  <c r="M254" i="25"/>
  <c r="M252" i="25"/>
  <c r="M250" i="25"/>
  <c r="M248" i="25"/>
  <c r="M246" i="25"/>
  <c r="M244" i="25"/>
  <c r="M242" i="25"/>
  <c r="M240" i="25"/>
  <c r="M238" i="25"/>
  <c r="M236" i="25"/>
  <c r="M234" i="25"/>
  <c r="M232" i="25"/>
  <c r="M230" i="25"/>
  <c r="M228" i="25"/>
  <c r="M226" i="25"/>
  <c r="N367" i="25"/>
  <c r="N343" i="25"/>
  <c r="M313" i="25"/>
  <c r="M312" i="25"/>
  <c r="N311" i="25"/>
  <c r="M281" i="25"/>
  <c r="M280" i="25"/>
  <c r="N279" i="25"/>
  <c r="N274" i="25"/>
  <c r="N266" i="25"/>
  <c r="N260" i="25"/>
  <c r="M259" i="25"/>
  <c r="N257" i="25"/>
  <c r="N252" i="25"/>
  <c r="M251" i="25"/>
  <c r="N249" i="25"/>
  <c r="N244" i="25"/>
  <c r="M243" i="25"/>
  <c r="N241" i="25"/>
  <c r="N236" i="25"/>
  <c r="M235" i="25"/>
  <c r="N233" i="25"/>
  <c r="N228" i="25"/>
  <c r="M227" i="25"/>
  <c r="M224" i="25"/>
  <c r="M222" i="25"/>
  <c r="M220" i="25"/>
  <c r="M218" i="25"/>
  <c r="M216" i="25"/>
  <c r="M214" i="25"/>
  <c r="M212" i="25"/>
  <c r="M210" i="25"/>
  <c r="M208" i="25"/>
  <c r="M206" i="25"/>
  <c r="M204" i="25"/>
  <c r="M202" i="25"/>
  <c r="M200" i="25"/>
  <c r="M198" i="25"/>
  <c r="M196" i="25"/>
  <c r="M194" i="25"/>
  <c r="M192" i="25"/>
  <c r="M190" i="25"/>
  <c r="M188" i="25"/>
  <c r="M186" i="25"/>
  <c r="M184" i="25"/>
  <c r="M182" i="25"/>
  <c r="M180" i="25"/>
  <c r="M178" i="25"/>
  <c r="M176" i="25"/>
  <c r="M174" i="25"/>
  <c r="M172" i="25"/>
  <c r="M170" i="25"/>
  <c r="M168" i="25"/>
  <c r="M166" i="25"/>
  <c r="M164" i="25"/>
  <c r="M162" i="25"/>
  <c r="M160" i="25"/>
  <c r="M158" i="25"/>
  <c r="M156" i="25"/>
  <c r="M154" i="25"/>
  <c r="M152" i="25"/>
  <c r="M150" i="25"/>
  <c r="M148" i="25"/>
  <c r="M146" i="25"/>
  <c r="M144" i="25"/>
  <c r="M142" i="25"/>
  <c r="M140" i="25"/>
  <c r="M138" i="25"/>
  <c r="M136" i="25"/>
  <c r="M134" i="25"/>
  <c r="M132" i="25"/>
  <c r="M130" i="25"/>
  <c r="M128" i="25"/>
  <c r="M126" i="25"/>
  <c r="M124" i="25"/>
  <c r="M122" i="25"/>
  <c r="M120" i="25"/>
  <c r="M337" i="25"/>
  <c r="M336" i="25"/>
  <c r="N335" i="25"/>
  <c r="M305" i="25"/>
  <c r="M304" i="25"/>
  <c r="N303" i="25"/>
  <c r="N276" i="25"/>
  <c r="N268" i="25"/>
  <c r="N263" i="25"/>
  <c r="N258" i="25"/>
  <c r="M257" i="25"/>
  <c r="N255" i="25"/>
  <c r="N250" i="25"/>
  <c r="M249" i="25"/>
  <c r="N247" i="25"/>
  <c r="N242" i="25"/>
  <c r="M241" i="25"/>
  <c r="N239" i="25"/>
  <c r="N234" i="25"/>
  <c r="M233" i="25"/>
  <c r="N231" i="25"/>
  <c r="N226" i="25"/>
  <c r="N225" i="25"/>
  <c r="N223" i="25"/>
  <c r="N221" i="25"/>
  <c r="M321" i="25"/>
  <c r="M320" i="25"/>
  <c r="N319" i="25"/>
  <c r="M289" i="25"/>
  <c r="M288" i="25"/>
  <c r="N287" i="25"/>
  <c r="N272" i="25"/>
  <c r="N264" i="25"/>
  <c r="N262" i="25"/>
  <c r="M261" i="25"/>
  <c r="N259" i="25"/>
  <c r="N254" i="25"/>
  <c r="M253" i="25"/>
  <c r="N251" i="25"/>
  <c r="N246" i="25"/>
  <c r="M245" i="25"/>
  <c r="N243" i="25"/>
  <c r="N238" i="25"/>
  <c r="M237" i="25"/>
  <c r="N235" i="25"/>
  <c r="N230" i="25"/>
  <c r="M229" i="25"/>
  <c r="N227" i="25"/>
  <c r="N224" i="25"/>
  <c r="N222" i="25"/>
  <c r="N220" i="25"/>
  <c r="N218" i="25"/>
  <c r="N216" i="25"/>
  <c r="N214" i="25"/>
  <c r="N212" i="25"/>
  <c r="N210" i="25"/>
  <c r="N208" i="25"/>
  <c r="N206" i="25"/>
  <c r="N204" i="25"/>
  <c r="N202" i="25"/>
  <c r="N200" i="25"/>
  <c r="N198" i="25"/>
  <c r="N196" i="25"/>
  <c r="N194" i="25"/>
  <c r="N192" i="25"/>
  <c r="N190" i="25"/>
  <c r="N188" i="25"/>
  <c r="N186" i="25"/>
  <c r="N184" i="25"/>
  <c r="N182" i="25"/>
  <c r="N180" i="25"/>
  <c r="N178" i="25"/>
  <c r="N176" i="25"/>
  <c r="N174" i="25"/>
  <c r="N172" i="25"/>
  <c r="N170" i="25"/>
  <c r="N168" i="25"/>
  <c r="N166" i="25"/>
  <c r="N164" i="25"/>
  <c r="N162" i="25"/>
  <c r="N160" i="25"/>
  <c r="N158" i="25"/>
  <c r="N156" i="25"/>
  <c r="N154" i="25"/>
  <c r="N152" i="25"/>
  <c r="N150" i="25"/>
  <c r="N148" i="25"/>
  <c r="N146" i="25"/>
  <c r="N144" i="25"/>
  <c r="N142" i="25"/>
  <c r="N140" i="25"/>
  <c r="N138" i="25"/>
  <c r="N136" i="25"/>
  <c r="N134" i="25"/>
  <c r="N132" i="25"/>
  <c r="N130" i="25"/>
  <c r="N128" i="25"/>
  <c r="N126" i="25"/>
  <c r="N124" i="25"/>
  <c r="N122" i="25"/>
  <c r="N120" i="25"/>
  <c r="N118" i="25"/>
  <c r="N116" i="25"/>
  <c r="N114" i="25"/>
  <c r="N112" i="25"/>
  <c r="N110" i="25"/>
  <c r="N108" i="25"/>
  <c r="N106" i="25"/>
  <c r="N104" i="25"/>
  <c r="N102" i="25"/>
  <c r="N100" i="25"/>
  <c r="N98" i="25"/>
  <c r="N96" i="25"/>
  <c r="N94" i="25"/>
  <c r="N92" i="25"/>
  <c r="N90" i="25"/>
  <c r="N88" i="25"/>
  <c r="N86" i="25"/>
  <c r="N84" i="25"/>
  <c r="N82" i="25"/>
  <c r="N80" i="25"/>
  <c r="N78" i="25"/>
  <c r="N76" i="25"/>
  <c r="N74" i="25"/>
  <c r="N72" i="25"/>
  <c r="N70" i="25"/>
  <c r="N68" i="25"/>
  <c r="N66" i="25"/>
  <c r="N64" i="25"/>
  <c r="N62" i="25"/>
  <c r="N60" i="25"/>
  <c r="N58" i="25"/>
  <c r="N56" i="25"/>
  <c r="N54" i="25"/>
  <c r="N52" i="25"/>
  <c r="N50" i="25"/>
  <c r="N48" i="25"/>
  <c r="N46" i="25"/>
  <c r="N44" i="25"/>
  <c r="N42" i="25"/>
  <c r="N40" i="25"/>
  <c r="N38" i="25"/>
  <c r="N36" i="25"/>
  <c r="N34" i="25"/>
  <c r="N32" i="25"/>
  <c r="N30" i="25"/>
  <c r="N327" i="25"/>
  <c r="M296" i="25"/>
  <c r="N278" i="25"/>
  <c r="M263" i="25"/>
  <c r="N237" i="25"/>
  <c r="N232" i="25"/>
  <c r="M231" i="25"/>
  <c r="M221" i="25"/>
  <c r="M219" i="25"/>
  <c r="M215" i="25"/>
  <c r="M211" i="25"/>
  <c r="M207" i="25"/>
  <c r="M203" i="25"/>
  <c r="M199" i="25"/>
  <c r="M195" i="25"/>
  <c r="M191" i="25"/>
  <c r="M187" i="25"/>
  <c r="M183" i="25"/>
  <c r="M179" i="25"/>
  <c r="M175" i="25"/>
  <c r="M171" i="25"/>
  <c r="M167" i="25"/>
  <c r="M163" i="25"/>
  <c r="M159" i="25"/>
  <c r="M155" i="25"/>
  <c r="M151" i="25"/>
  <c r="M147" i="25"/>
  <c r="M143" i="25"/>
  <c r="M139" i="25"/>
  <c r="M135" i="25"/>
  <c r="M131" i="25"/>
  <c r="M127" i="25"/>
  <c r="M123" i="25"/>
  <c r="M115" i="25"/>
  <c r="M114" i="25"/>
  <c r="N113" i="25"/>
  <c r="M107" i="25"/>
  <c r="M106" i="25"/>
  <c r="N105" i="25"/>
  <c r="M99" i="25"/>
  <c r="M98" i="25"/>
  <c r="N97" i="25"/>
  <c r="M91" i="25"/>
  <c r="M90" i="25"/>
  <c r="N89" i="25"/>
  <c r="M83" i="25"/>
  <c r="M82" i="25"/>
  <c r="N81" i="25"/>
  <c r="M75" i="25"/>
  <c r="M74" i="25"/>
  <c r="N73" i="25"/>
  <c r="M67" i="25"/>
  <c r="M66" i="25"/>
  <c r="N65" i="25"/>
  <c r="M59" i="25"/>
  <c r="M58" i="25"/>
  <c r="M50" i="25"/>
  <c r="M35" i="25"/>
  <c r="N295" i="25"/>
  <c r="N261" i="25"/>
  <c r="N256" i="25"/>
  <c r="M255" i="25"/>
  <c r="N229" i="25"/>
  <c r="M223" i="25"/>
  <c r="N217" i="25"/>
  <c r="N213" i="25"/>
  <c r="N209" i="25"/>
  <c r="N205" i="25"/>
  <c r="N201" i="25"/>
  <c r="N197" i="25"/>
  <c r="N193" i="25"/>
  <c r="N189" i="25"/>
  <c r="N185" i="25"/>
  <c r="N181" i="25"/>
  <c r="N177" i="25"/>
  <c r="N173" i="25"/>
  <c r="N169" i="25"/>
  <c r="N165" i="25"/>
  <c r="N161" i="25"/>
  <c r="N157" i="25"/>
  <c r="N153" i="25"/>
  <c r="N149" i="25"/>
  <c r="N145" i="25"/>
  <c r="N141" i="25"/>
  <c r="N137" i="25"/>
  <c r="N133" i="25"/>
  <c r="N129" i="25"/>
  <c r="N125" i="25"/>
  <c r="N121" i="25"/>
  <c r="N119" i="25"/>
  <c r="M113" i="25"/>
  <c r="M112" i="25"/>
  <c r="N111" i="25"/>
  <c r="M105" i="25"/>
  <c r="M104" i="25"/>
  <c r="N103" i="25"/>
  <c r="M97" i="25"/>
  <c r="M96" i="25"/>
  <c r="N95" i="25"/>
  <c r="M89" i="25"/>
  <c r="M88" i="25"/>
  <c r="N87" i="25"/>
  <c r="M81" i="25"/>
  <c r="M80" i="25"/>
  <c r="N79" i="25"/>
  <c r="M73" i="25"/>
  <c r="M72" i="25"/>
  <c r="N71" i="25"/>
  <c r="M65" i="25"/>
  <c r="M64" i="25"/>
  <c r="N63" i="25"/>
  <c r="M57" i="25"/>
  <c r="M56" i="25"/>
  <c r="N55" i="25"/>
  <c r="M49" i="25"/>
  <c r="M48" i="25"/>
  <c r="N47" i="25"/>
  <c r="M41" i="25"/>
  <c r="M40" i="25"/>
  <c r="M328" i="25"/>
  <c r="M297" i="25"/>
  <c r="N270" i="25"/>
  <c r="N245" i="25"/>
  <c r="N240" i="25"/>
  <c r="M239" i="25"/>
  <c r="N219" i="25"/>
  <c r="N215" i="25"/>
  <c r="N211" i="25"/>
  <c r="N207" i="25"/>
  <c r="N203" i="25"/>
  <c r="N199" i="25"/>
  <c r="N195" i="25"/>
  <c r="N191" i="25"/>
  <c r="N187" i="25"/>
  <c r="N183" i="25"/>
  <c r="N179" i="25"/>
  <c r="N175" i="25"/>
  <c r="N171" i="25"/>
  <c r="N167" i="25"/>
  <c r="N163" i="25"/>
  <c r="N159" i="25"/>
  <c r="N155" i="25"/>
  <c r="N151" i="25"/>
  <c r="N147" i="25"/>
  <c r="N143" i="25"/>
  <c r="N139" i="25"/>
  <c r="N135" i="25"/>
  <c r="N131" i="25"/>
  <c r="N127" i="25"/>
  <c r="N123" i="25"/>
  <c r="M117" i="25"/>
  <c r="M116" i="25"/>
  <c r="N115" i="25"/>
  <c r="M109" i="25"/>
  <c r="M108" i="25"/>
  <c r="N107" i="25"/>
  <c r="M101" i="25"/>
  <c r="M100" i="25"/>
  <c r="N99" i="25"/>
  <c r="M93" i="25"/>
  <c r="M92" i="25"/>
  <c r="N91" i="25"/>
  <c r="M85" i="25"/>
  <c r="M84" i="25"/>
  <c r="N83" i="25"/>
  <c r="M77" i="25"/>
  <c r="M76" i="25"/>
  <c r="N75" i="25"/>
  <c r="M69" i="25"/>
  <c r="M68" i="25"/>
  <c r="N67" i="25"/>
  <c r="M61" i="25"/>
  <c r="M60" i="25"/>
  <c r="N59" i="25"/>
  <c r="M53" i="25"/>
  <c r="M52" i="25"/>
  <c r="N51" i="25"/>
  <c r="M45" i="25"/>
  <c r="M44" i="25"/>
  <c r="N43" i="25"/>
  <c r="M37" i="25"/>
  <c r="M36" i="25"/>
  <c r="N35" i="25"/>
  <c r="M29" i="25"/>
  <c r="N28" i="25"/>
  <c r="N26" i="25"/>
  <c r="N24" i="25"/>
  <c r="N22" i="25"/>
  <c r="N20" i="25"/>
  <c r="N18" i="25"/>
  <c r="N16" i="25"/>
  <c r="N14" i="25"/>
  <c r="N57" i="25"/>
  <c r="M51" i="25"/>
  <c r="N49" i="25"/>
  <c r="M43" i="25"/>
  <c r="M42" i="25"/>
  <c r="N41" i="25"/>
  <c r="M34" i="25"/>
  <c r="N33" i="25"/>
  <c r="M28" i="25"/>
  <c r="M26" i="25"/>
  <c r="M329" i="25"/>
  <c r="N248" i="25"/>
  <c r="M209" i="25"/>
  <c r="M193" i="25"/>
  <c r="M177" i="25"/>
  <c r="M161" i="25"/>
  <c r="M145" i="25"/>
  <c r="M129" i="25"/>
  <c r="M95" i="25"/>
  <c r="M94" i="25"/>
  <c r="N93" i="25"/>
  <c r="M63" i="25"/>
  <c r="M62" i="25"/>
  <c r="N61" i="25"/>
  <c r="M39" i="25"/>
  <c r="N25" i="25"/>
  <c r="M24" i="25"/>
  <c r="N23" i="25"/>
  <c r="M17" i="25"/>
  <c r="M16" i="25"/>
  <c r="N13" i="25"/>
  <c r="M201" i="25"/>
  <c r="M169" i="25"/>
  <c r="M137" i="25"/>
  <c r="M121" i="25"/>
  <c r="M79" i="25"/>
  <c r="N77" i="25"/>
  <c r="M46" i="25"/>
  <c r="N45" i="25"/>
  <c r="M31" i="25"/>
  <c r="N253" i="25"/>
  <c r="M247" i="25"/>
  <c r="M225" i="25"/>
  <c r="M213" i="25"/>
  <c r="M197" i="25"/>
  <c r="M181" i="25"/>
  <c r="M165" i="25"/>
  <c r="M149" i="25"/>
  <c r="M133" i="25"/>
  <c r="M119" i="25"/>
  <c r="M118" i="25"/>
  <c r="N117" i="25"/>
  <c r="M87" i="25"/>
  <c r="M86" i="25"/>
  <c r="N85" i="25"/>
  <c r="M55" i="25"/>
  <c r="M54" i="25"/>
  <c r="N53" i="25"/>
  <c r="M38" i="25"/>
  <c r="N37" i="25"/>
  <c r="N31" i="25"/>
  <c r="M25" i="25"/>
  <c r="M23" i="25"/>
  <c r="M22" i="25"/>
  <c r="N21" i="25"/>
  <c r="M15" i="25"/>
  <c r="M110" i="25"/>
  <c r="M78" i="25"/>
  <c r="M32" i="25"/>
  <c r="M205" i="25"/>
  <c r="M189" i="25"/>
  <c r="M173" i="25"/>
  <c r="M157" i="25"/>
  <c r="M141" i="25"/>
  <c r="M125" i="25"/>
  <c r="M103" i="25"/>
  <c r="M102" i="25"/>
  <c r="N101" i="25"/>
  <c r="M71" i="25"/>
  <c r="M70" i="25"/>
  <c r="N69" i="25"/>
  <c r="N39" i="25"/>
  <c r="M33" i="25"/>
  <c r="M30" i="25"/>
  <c r="N29" i="25"/>
  <c r="M27" i="25"/>
  <c r="M19" i="25"/>
  <c r="M18" i="25"/>
  <c r="N17" i="25"/>
  <c r="N15" i="25"/>
  <c r="M14" i="25"/>
  <c r="M217" i="25"/>
  <c r="M185" i="25"/>
  <c r="M153" i="25"/>
  <c r="M111" i="25"/>
  <c r="N109" i="25"/>
  <c r="M47" i="25"/>
  <c r="N27" i="25"/>
  <c r="M21" i="25"/>
  <c r="M20" i="25"/>
  <c r="N19" i="25"/>
  <c r="M13" i="25"/>
  <c r="N626" i="25"/>
  <c r="N628" i="25"/>
  <c r="R628" i="25" s="1"/>
  <c r="S628" i="25" s="1"/>
  <c r="M628" i="25"/>
  <c r="Q628" i="25" s="1"/>
  <c r="M626" i="25"/>
  <c r="N623" i="25"/>
  <c r="M623" i="25"/>
  <c r="Q623" i="25" s="1"/>
  <c r="N622" i="25"/>
  <c r="M622" i="25"/>
  <c r="AB625" i="25"/>
  <c r="M625" i="25"/>
  <c r="X625" i="25" s="1"/>
  <c r="AA624" i="25"/>
  <c r="E634" i="25" s="1"/>
  <c r="K627" i="25"/>
  <c r="C627" i="25"/>
  <c r="N627" i="25"/>
  <c r="J627" i="25"/>
  <c r="F627" i="25"/>
  <c r="L627" i="25"/>
  <c r="D627" i="25"/>
  <c r="I627" i="25"/>
  <c r="M627" i="25"/>
  <c r="E627" i="25"/>
  <c r="N625" i="25"/>
  <c r="R625" i="25" s="1"/>
  <c r="S625" i="25" s="1"/>
  <c r="M624" i="25"/>
  <c r="X624" i="25" s="1"/>
  <c r="R624" i="25"/>
  <c r="S624" i="25" s="1"/>
  <c r="AB624" i="25"/>
  <c r="AA625" i="25"/>
  <c r="E635" i="25" s="1"/>
  <c r="N592" i="17"/>
  <c r="R592" i="17" s="1"/>
  <c r="S592" i="17" s="1"/>
  <c r="N295" i="17"/>
  <c r="R295" i="17" s="1"/>
  <c r="S295" i="17" s="1"/>
  <c r="M345" i="17"/>
  <c r="X345" i="17" s="1"/>
  <c r="M572" i="17"/>
  <c r="Q572" i="17" s="1"/>
  <c r="U572" i="17" s="1"/>
  <c r="N40" i="17"/>
  <c r="R40" i="17" s="1"/>
  <c r="S40" i="17" s="1"/>
  <c r="N460" i="17"/>
  <c r="R460" i="17" s="1"/>
  <c r="S460" i="17" s="1"/>
  <c r="M36" i="17"/>
  <c r="Q36" i="17" s="1"/>
  <c r="U36" i="17" s="1"/>
  <c r="M263" i="17"/>
  <c r="X263" i="17" s="1"/>
  <c r="M417" i="17"/>
  <c r="Q417" i="17" s="1"/>
  <c r="U417" i="17" s="1"/>
  <c r="N130" i="17"/>
  <c r="R130" i="17" s="1"/>
  <c r="S130" i="17" s="1"/>
  <c r="M297" i="17"/>
  <c r="X297" i="17" s="1"/>
  <c r="M494" i="17"/>
  <c r="M277" i="17"/>
  <c r="Q277" i="17" s="1"/>
  <c r="U277" i="17" s="1"/>
  <c r="N443" i="17"/>
  <c r="Y443" i="17" s="1"/>
  <c r="N561" i="17"/>
  <c r="R561" i="17" s="1"/>
  <c r="S561" i="17" s="1"/>
  <c r="N127" i="17"/>
  <c r="R127" i="17" s="1"/>
  <c r="S127" i="17" s="1"/>
  <c r="M151" i="17"/>
  <c r="Q151" i="17" s="1"/>
  <c r="U151" i="17" s="1"/>
  <c r="M283" i="17"/>
  <c r="Q283" i="17" s="1"/>
  <c r="U283" i="17" s="1"/>
  <c r="N516" i="17"/>
  <c r="R516" i="17" s="1"/>
  <c r="S516" i="17" s="1"/>
  <c r="M487" i="17"/>
  <c r="Q487" i="17" s="1"/>
  <c r="N25" i="17"/>
  <c r="R25" i="17" s="1"/>
  <c r="S25" i="17" s="1"/>
  <c r="M326" i="17"/>
  <c r="X326" i="17" s="1"/>
  <c r="N524" i="17"/>
  <c r="Y524" i="17" s="1"/>
  <c r="N269" i="17"/>
  <c r="M435" i="17"/>
  <c r="Q435" i="17" s="1"/>
  <c r="U435" i="17" s="1"/>
  <c r="N156" i="17"/>
  <c r="R156" i="17" s="1"/>
  <c r="S156" i="17" s="1"/>
  <c r="N22" i="17"/>
  <c r="R22" i="17" s="1"/>
  <c r="S22" i="17" s="1"/>
  <c r="M320" i="17"/>
  <c r="M237" i="17"/>
  <c r="Q237" i="17" s="1"/>
  <c r="U237" i="17" s="1"/>
  <c r="N37" i="17"/>
  <c r="R37" i="17" s="1"/>
  <c r="S37" i="17" s="1"/>
  <c r="M252" i="17"/>
  <c r="Q252" i="17" s="1"/>
  <c r="U252" i="17" s="1"/>
  <c r="N394" i="17"/>
  <c r="Y394" i="17" s="1"/>
  <c r="N306" i="17"/>
  <c r="R306" i="17" s="1"/>
  <c r="S306" i="17" s="1"/>
  <c r="N361" i="17"/>
  <c r="R361" i="17" s="1"/>
  <c r="S361" i="17" s="1"/>
  <c r="N35" i="17"/>
  <c r="Y35" i="17" s="1"/>
  <c r="M381" i="17"/>
  <c r="M560" i="17"/>
  <c r="Q560" i="17" s="1"/>
  <c r="U560" i="17" s="1"/>
  <c r="N354" i="17"/>
  <c r="R354" i="17" s="1"/>
  <c r="S354" i="17" s="1"/>
  <c r="N206" i="17"/>
  <c r="Y206" i="17" s="1"/>
  <c r="M612" i="17"/>
  <c r="N518" i="17"/>
  <c r="R518" i="17" s="1"/>
  <c r="S518" i="17" s="1"/>
  <c r="M454" i="17"/>
  <c r="Q454" i="17" s="1"/>
  <c r="U454" i="17" s="1"/>
  <c r="N380" i="17"/>
  <c r="M212" i="17"/>
  <c r="M402" i="17"/>
  <c r="Q402" i="17" s="1"/>
  <c r="U402" i="17" s="1"/>
  <c r="N613" i="17"/>
  <c r="R613" i="17" s="1"/>
  <c r="S613" i="17" s="1"/>
  <c r="N446" i="17"/>
  <c r="R446" i="17" s="1"/>
  <c r="S446" i="17" s="1"/>
  <c r="M314" i="17"/>
  <c r="N549" i="17"/>
  <c r="R549" i="17" s="1"/>
  <c r="S549" i="17" s="1"/>
  <c r="N363" i="17"/>
  <c r="N229" i="17"/>
  <c r="N258" i="17"/>
  <c r="R258" i="17" s="1"/>
  <c r="S258" i="17" s="1"/>
  <c r="M161" i="17"/>
  <c r="Q161" i="17" s="1"/>
  <c r="U161" i="17" s="1"/>
  <c r="M578" i="17"/>
  <c r="Q578" i="17" s="1"/>
  <c r="U578" i="17" s="1"/>
  <c r="N489" i="17"/>
  <c r="N321" i="17"/>
  <c r="Y321" i="17" s="1"/>
  <c r="N255" i="17"/>
  <c r="Y255" i="17" s="1"/>
  <c r="N284" i="17"/>
  <c r="Y284" i="17" s="1"/>
  <c r="N116" i="17"/>
  <c r="N55" i="17"/>
  <c r="R55" i="17" s="1"/>
  <c r="S55" i="17" s="1"/>
  <c r="N104" i="17"/>
  <c r="R104" i="17" s="1"/>
  <c r="S104" i="17" s="1"/>
  <c r="M30" i="17"/>
  <c r="N78" i="17"/>
  <c r="R78" i="17" s="1"/>
  <c r="S78" i="17" s="1"/>
  <c r="N343" i="17"/>
  <c r="R343" i="17" s="1"/>
  <c r="S343" i="17" s="1"/>
  <c r="M465" i="17"/>
  <c r="Q465" i="17" s="1"/>
  <c r="U465" i="17" s="1"/>
  <c r="M166" i="17"/>
  <c r="Q166" i="17" s="1"/>
  <c r="U166" i="17" s="1"/>
  <c r="M400" i="17"/>
  <c r="Q400" i="17" s="1"/>
  <c r="U400" i="17" s="1"/>
  <c r="N566" i="17"/>
  <c r="M208" i="17"/>
  <c r="Q208" i="17" s="1"/>
  <c r="U208" i="17" s="1"/>
  <c r="M600" i="17"/>
  <c r="X600" i="17" s="1"/>
  <c r="N586" i="17"/>
  <c r="M178" i="17"/>
  <c r="N233" i="17"/>
  <c r="R233" i="17" s="1"/>
  <c r="S233" i="17" s="1"/>
  <c r="N349" i="17"/>
  <c r="R349" i="17" s="1"/>
  <c r="S349" i="17" s="1"/>
  <c r="N108" i="17"/>
  <c r="M479" i="17"/>
  <c r="M540" i="17"/>
  <c r="M76" i="17"/>
  <c r="X76" i="17" s="1"/>
  <c r="N572" i="17"/>
  <c r="Y572" i="17" s="1"/>
  <c r="M406" i="17"/>
  <c r="Q406" i="17" s="1"/>
  <c r="U406" i="17" s="1"/>
  <c r="M312" i="17"/>
  <c r="Q312" i="17" s="1"/>
  <c r="U312" i="17" s="1"/>
  <c r="M468" i="17"/>
  <c r="Q468" i="17" s="1"/>
  <c r="U468" i="17" s="1"/>
  <c r="M517" i="17"/>
  <c r="N181" i="17"/>
  <c r="Y181" i="17" s="1"/>
  <c r="M515" i="17"/>
  <c r="M383" i="17"/>
  <c r="Q383" i="17" s="1"/>
  <c r="U383" i="17" s="1"/>
  <c r="N244" i="17"/>
  <c r="N79" i="17"/>
  <c r="M58" i="17"/>
  <c r="X58" i="17" s="1"/>
  <c r="N399" i="17"/>
  <c r="R399" i="17" s="1"/>
  <c r="S399" i="17" s="1"/>
  <c r="M488" i="17"/>
  <c r="X488" i="17" s="1"/>
  <c r="N368" i="17"/>
  <c r="R368" i="17" s="1"/>
  <c r="S368" i="17" s="1"/>
  <c r="N565" i="17"/>
  <c r="R565" i="17" s="1"/>
  <c r="S565" i="17" s="1"/>
  <c r="N203" i="17"/>
  <c r="R203" i="17" s="1"/>
  <c r="S203" i="17" s="1"/>
  <c r="N480" i="17"/>
  <c r="Y480" i="17" s="1"/>
  <c r="N340" i="17"/>
  <c r="R340" i="17" s="1"/>
  <c r="S340" i="17" s="1"/>
  <c r="M172" i="17"/>
  <c r="Q172" i="17" s="1"/>
  <c r="U172" i="17" s="1"/>
  <c r="M607" i="17"/>
  <c r="Q607" i="17" s="1"/>
  <c r="U607" i="17" s="1"/>
  <c r="M218" i="17"/>
  <c r="M385" i="17"/>
  <c r="Q385" i="17" s="1"/>
  <c r="U385" i="17" s="1"/>
  <c r="N218" i="17"/>
  <c r="M259" i="17"/>
  <c r="N449" i="17"/>
  <c r="N207" i="17"/>
  <c r="M125" i="17"/>
  <c r="M63" i="17"/>
  <c r="X63" i="17" s="1"/>
  <c r="M45" i="17"/>
  <c r="Q45" i="17" s="1"/>
  <c r="U45" i="17" s="1"/>
  <c r="M543" i="17"/>
  <c r="X543" i="17" s="1"/>
  <c r="M246" i="17"/>
  <c r="M561" i="17"/>
  <c r="Q561" i="17" s="1"/>
  <c r="U561" i="17" s="1"/>
  <c r="M482" i="17"/>
  <c r="N486" i="17"/>
  <c r="N294" i="17"/>
  <c r="Y294" i="17" s="1"/>
  <c r="N227" i="17"/>
  <c r="Y227" i="17" s="1"/>
  <c r="M24" i="17"/>
  <c r="X24" i="17" s="1"/>
  <c r="M123" i="17"/>
  <c r="N571" i="17"/>
  <c r="N432" i="17"/>
  <c r="M366" i="17"/>
  <c r="M300" i="17"/>
  <c r="N544" i="17"/>
  <c r="M152" i="17"/>
  <c r="Q152" i="17" s="1"/>
  <c r="U152" i="17" s="1"/>
  <c r="N546" i="17"/>
  <c r="M372" i="17"/>
  <c r="X372" i="17" s="1"/>
  <c r="M138" i="17"/>
  <c r="Q138" i="17" s="1"/>
  <c r="U138" i="17" s="1"/>
  <c r="M437" i="17"/>
  <c r="Q437" i="17" s="1"/>
  <c r="U437" i="17" s="1"/>
  <c r="N309" i="17"/>
  <c r="N141" i="17"/>
  <c r="R141" i="17" s="1"/>
  <c r="S141" i="17" s="1"/>
  <c r="N178" i="17"/>
  <c r="R178" i="17" s="1"/>
  <c r="S178" i="17" s="1"/>
  <c r="N595" i="17"/>
  <c r="R595" i="17" s="1"/>
  <c r="S595" i="17" s="1"/>
  <c r="M475" i="17"/>
  <c r="N409" i="17"/>
  <c r="R409" i="17" s="1"/>
  <c r="S409" i="17" s="1"/>
  <c r="M335" i="17"/>
  <c r="X335" i="17" s="1"/>
  <c r="N167" i="17"/>
  <c r="R167" i="17" s="1"/>
  <c r="S167" i="17" s="1"/>
  <c r="N204" i="17"/>
  <c r="N15" i="17"/>
  <c r="N99" i="17"/>
  <c r="R99" i="17" s="1"/>
  <c r="S99" i="17" s="1"/>
  <c r="N622" i="17"/>
  <c r="M90" i="17"/>
  <c r="M333" i="17"/>
  <c r="Q333" i="17" s="1"/>
  <c r="U333" i="17" s="1"/>
  <c r="N455" i="17"/>
  <c r="R455" i="17" s="1"/>
  <c r="S455" i="17" s="1"/>
  <c r="M559" i="17"/>
  <c r="N334" i="17"/>
  <c r="N474" i="17"/>
  <c r="M209" i="17"/>
  <c r="Q209" i="17" s="1"/>
  <c r="U209" i="17" s="1"/>
  <c r="M442" i="17"/>
  <c r="Q442" i="17" s="1"/>
  <c r="U442" i="17" s="1"/>
  <c r="M232" i="17"/>
  <c r="M428" i="17"/>
  <c r="X428" i="17" s="1"/>
  <c r="N483" i="17"/>
  <c r="R483" i="17" s="1"/>
  <c r="S483" i="17" s="1"/>
  <c r="M179" i="17"/>
  <c r="Q179" i="17" s="1"/>
  <c r="U179" i="17" s="1"/>
  <c r="N208" i="17"/>
  <c r="N82" i="17"/>
  <c r="Y82" i="17" s="1"/>
  <c r="N49" i="17"/>
  <c r="R49" i="17" s="1"/>
  <c r="S49" i="17" s="1"/>
  <c r="N628" i="17"/>
  <c r="R628" i="17" s="1"/>
  <c r="S628" i="17" s="1"/>
  <c r="M199" i="17"/>
  <c r="Q199" i="17" s="1"/>
  <c r="U199" i="17" s="1"/>
  <c r="N123" i="17"/>
  <c r="Y123" i="17" s="1"/>
  <c r="M41" i="17"/>
  <c r="Q41" i="17" s="1"/>
  <c r="U41" i="17" s="1"/>
  <c r="N100" i="17"/>
  <c r="N264" i="17"/>
  <c r="N469" i="17"/>
  <c r="M555" i="17"/>
  <c r="Q555" i="17" s="1"/>
  <c r="U555" i="17" s="1"/>
  <c r="N110" i="17"/>
  <c r="Y110" i="17" s="1"/>
  <c r="M92" i="17"/>
  <c r="Q92" i="17" s="1"/>
  <c r="U92" i="17" s="1"/>
  <c r="M99" i="17"/>
  <c r="Q99" i="17" s="1"/>
  <c r="U99" i="17" s="1"/>
  <c r="N73" i="17"/>
  <c r="N168" i="17"/>
  <c r="Y168" i="17" s="1"/>
  <c r="N219" i="17"/>
  <c r="N373" i="17"/>
  <c r="R373" i="17" s="1"/>
  <c r="S373" i="17" s="1"/>
  <c r="M525" i="17"/>
  <c r="X525" i="17" s="1"/>
  <c r="N142" i="17"/>
  <c r="Y142" i="17" s="1"/>
  <c r="N90" i="17"/>
  <c r="M84" i="17"/>
  <c r="M20" i="17"/>
  <c r="M83" i="17"/>
  <c r="Q83" i="17" s="1"/>
  <c r="U83" i="17" s="1"/>
  <c r="N52" i="17"/>
  <c r="N65" i="17"/>
  <c r="M155" i="17"/>
  <c r="N184" i="17"/>
  <c r="R184" i="17" s="1"/>
  <c r="S184" i="17" s="1"/>
  <c r="N312" i="17"/>
  <c r="N235" i="17"/>
  <c r="M363" i="17"/>
  <c r="Q363" i="17" s="1"/>
  <c r="U363" i="17" s="1"/>
  <c r="N389" i="17"/>
  <c r="R389" i="17" s="1"/>
  <c r="S389" i="17" s="1"/>
  <c r="N517" i="17"/>
  <c r="M541" i="17"/>
  <c r="M219" i="17"/>
  <c r="X219" i="17" s="1"/>
  <c r="N158" i="17"/>
  <c r="N222" i="17"/>
  <c r="Y222" i="17" s="1"/>
  <c r="N286" i="17"/>
  <c r="R286" i="17" s="1"/>
  <c r="S286" i="17" s="1"/>
  <c r="M97" i="17"/>
  <c r="M17" i="17"/>
  <c r="N50" i="17"/>
  <c r="M96" i="17"/>
  <c r="M64" i="17"/>
  <c r="M32" i="17"/>
  <c r="Q32" i="17" s="1"/>
  <c r="U32" i="17" s="1"/>
  <c r="M159" i="17"/>
  <c r="M107" i="17"/>
  <c r="Q107" i="17" s="1"/>
  <c r="U107" i="17" s="1"/>
  <c r="M43" i="17"/>
  <c r="Q43" i="17" s="1"/>
  <c r="U43" i="17" s="1"/>
  <c r="N76" i="17"/>
  <c r="N109" i="17"/>
  <c r="N77" i="17"/>
  <c r="R77" i="17" s="1"/>
  <c r="S77" i="17" s="1"/>
  <c r="N45" i="17"/>
  <c r="R45" i="17" s="1"/>
  <c r="S45" i="17" s="1"/>
  <c r="N13" i="17"/>
  <c r="Y13" i="17" s="1"/>
  <c r="M173" i="17"/>
  <c r="N160" i="17"/>
  <c r="N224" i="17"/>
  <c r="R224" i="17" s="1"/>
  <c r="S224" i="17" s="1"/>
  <c r="N288" i="17"/>
  <c r="Y288" i="17" s="1"/>
  <c r="N147" i="17"/>
  <c r="N211" i="17"/>
  <c r="R211" i="17" s="1"/>
  <c r="S211" i="17" s="1"/>
  <c r="N275" i="17"/>
  <c r="R275" i="17" s="1"/>
  <c r="S275" i="17" s="1"/>
  <c r="M339" i="17"/>
  <c r="X339" i="17" s="1"/>
  <c r="M403" i="17"/>
  <c r="N365" i="17"/>
  <c r="N429" i="17"/>
  <c r="R429" i="17" s="1"/>
  <c r="S429" i="17" s="1"/>
  <c r="N493" i="17"/>
  <c r="R493" i="17" s="1"/>
  <c r="S493" i="17" s="1"/>
  <c r="M455" i="17"/>
  <c r="M520" i="17"/>
  <c r="Q520" i="17" s="1"/>
  <c r="U520" i="17" s="1"/>
  <c r="M532" i="17"/>
  <c r="N603" i="17"/>
  <c r="R603" i="17" s="1"/>
  <c r="S603" i="17" s="1"/>
  <c r="M121" i="17"/>
  <c r="N134" i="17"/>
  <c r="R134" i="17" s="1"/>
  <c r="S134" i="17" s="1"/>
  <c r="N198" i="17"/>
  <c r="N262" i="17"/>
  <c r="Y262" i="17" s="1"/>
  <c r="N121" i="17"/>
  <c r="N161" i="17"/>
  <c r="Y161" i="17" s="1"/>
  <c r="N193" i="17"/>
  <c r="N225" i="17"/>
  <c r="R225" i="17" s="1"/>
  <c r="S225" i="17" s="1"/>
  <c r="N257" i="17"/>
  <c r="R257" i="17" s="1"/>
  <c r="S257" i="17" s="1"/>
  <c r="N289" i="17"/>
  <c r="M321" i="17"/>
  <c r="Q321" i="17" s="1"/>
  <c r="U321" i="17" s="1"/>
  <c r="M377" i="17"/>
  <c r="X377" i="17" s="1"/>
  <c r="N339" i="17"/>
  <c r="Y339" i="17" s="1"/>
  <c r="N403" i="17"/>
  <c r="N467" i="17"/>
  <c r="R467" i="17" s="1"/>
  <c r="S467" i="17" s="1"/>
  <c r="M429" i="17"/>
  <c r="Q429" i="17" s="1"/>
  <c r="U429" i="17" s="1"/>
  <c r="M493" i="17"/>
  <c r="M566" i="17"/>
  <c r="Q566" i="17" s="1"/>
  <c r="U566" i="17" s="1"/>
  <c r="M551" i="17"/>
  <c r="M247" i="17"/>
  <c r="X247" i="17" s="1"/>
  <c r="M114" i="17"/>
  <c r="N74" i="17"/>
  <c r="N200" i="17"/>
  <c r="R200" i="17" s="1"/>
  <c r="S200" i="17" s="1"/>
  <c r="M85" i="17"/>
  <c r="N187" i="17"/>
  <c r="N405" i="17"/>
  <c r="M251" i="17"/>
  <c r="M60" i="17"/>
  <c r="N68" i="17"/>
  <c r="M189" i="17"/>
  <c r="Q189" i="17" s="1"/>
  <c r="U189" i="17" s="1"/>
  <c r="N283" i="17"/>
  <c r="R283" i="17" s="1"/>
  <c r="S283" i="17" s="1"/>
  <c r="N501" i="17"/>
  <c r="R501" i="17" s="1"/>
  <c r="S501" i="17" s="1"/>
  <c r="M137" i="17"/>
  <c r="N58" i="17"/>
  <c r="Y58" i="17" s="1"/>
  <c r="M52" i="17"/>
  <c r="X52" i="17" s="1"/>
  <c r="M626" i="17"/>
  <c r="N20" i="17"/>
  <c r="Y20" i="17" s="1"/>
  <c r="N33" i="17"/>
  <c r="N152" i="17"/>
  <c r="R152" i="17" s="1"/>
  <c r="S152" i="17" s="1"/>
  <c r="N139" i="17"/>
  <c r="N299" i="17"/>
  <c r="N357" i="17"/>
  <c r="M447" i="17"/>
  <c r="N569" i="17"/>
  <c r="N126" i="17"/>
  <c r="N238" i="17"/>
  <c r="N113" i="17"/>
  <c r="M33" i="17"/>
  <c r="N34" i="17"/>
  <c r="M80" i="17"/>
  <c r="M40" i="17"/>
  <c r="Q40" i="17" s="1"/>
  <c r="U40" i="17" s="1"/>
  <c r="M117" i="17"/>
  <c r="M75" i="17"/>
  <c r="Q75" i="17" s="1"/>
  <c r="U75" i="17" s="1"/>
  <c r="N92" i="17"/>
  <c r="R92" i="17" s="1"/>
  <c r="S92" i="17" s="1"/>
  <c r="N101" i="17"/>
  <c r="Y101" i="17" s="1"/>
  <c r="N61" i="17"/>
  <c r="N21" i="17"/>
  <c r="R21" i="17" s="1"/>
  <c r="S21" i="17" s="1"/>
  <c r="N112" i="17"/>
  <c r="N192" i="17"/>
  <c r="Y192" i="17" s="1"/>
  <c r="N272" i="17"/>
  <c r="R272" i="17" s="1"/>
  <c r="S272" i="17" s="1"/>
  <c r="N163" i="17"/>
  <c r="N243" i="17"/>
  <c r="M323" i="17"/>
  <c r="Q323" i="17" s="1"/>
  <c r="U323" i="17" s="1"/>
  <c r="N317" i="17"/>
  <c r="R317" i="17" s="1"/>
  <c r="S317" i="17" s="1"/>
  <c r="N397" i="17"/>
  <c r="N477" i="17"/>
  <c r="Y477" i="17" s="1"/>
  <c r="M471" i="17"/>
  <c r="Q471" i="17" s="1"/>
  <c r="U471" i="17" s="1"/>
  <c r="M554" i="17"/>
  <c r="M571" i="17"/>
  <c r="M153" i="17"/>
  <c r="Q153" i="17" s="1"/>
  <c r="U153" i="17" s="1"/>
  <c r="N166" i="17"/>
  <c r="R166" i="17" s="1"/>
  <c r="S166" i="17" s="1"/>
  <c r="N246" i="17"/>
  <c r="N137" i="17"/>
  <c r="N177" i="17"/>
  <c r="R177" i="17" s="1"/>
  <c r="S177" i="17" s="1"/>
  <c r="N217" i="17"/>
  <c r="R217" i="17" s="1"/>
  <c r="S217" i="17" s="1"/>
  <c r="N265" i="17"/>
  <c r="R265" i="17" s="1"/>
  <c r="S265" i="17" s="1"/>
  <c r="N305" i="17"/>
  <c r="M361" i="17"/>
  <c r="Q361" i="17" s="1"/>
  <c r="U361" i="17" s="1"/>
  <c r="N355" i="17"/>
  <c r="R355" i="17" s="1"/>
  <c r="S355" i="17" s="1"/>
  <c r="N435" i="17"/>
  <c r="N515" i="17"/>
  <c r="M509" i="17"/>
  <c r="M538" i="17"/>
  <c r="X538" i="17" s="1"/>
  <c r="M215" i="17"/>
  <c r="Q215" i="17" s="1"/>
  <c r="U215" i="17" s="1"/>
  <c r="M130" i="17"/>
  <c r="M194" i="17"/>
  <c r="Q194" i="17" s="1"/>
  <c r="U194" i="17" s="1"/>
  <c r="M258" i="17"/>
  <c r="N322" i="17"/>
  <c r="R322" i="17" s="1"/>
  <c r="S322" i="17" s="1"/>
  <c r="N386" i="17"/>
  <c r="Y386" i="17" s="1"/>
  <c r="M348" i="17"/>
  <c r="M412" i="17"/>
  <c r="M476" i="17"/>
  <c r="N438" i="17"/>
  <c r="R438" i="17" s="1"/>
  <c r="S438" i="17" s="1"/>
  <c r="N502" i="17"/>
  <c r="Y502" i="17" s="1"/>
  <c r="M584" i="17"/>
  <c r="Q584" i="17" s="1"/>
  <c r="N554" i="17"/>
  <c r="Y554" i="17" s="1"/>
  <c r="M599" i="17"/>
  <c r="Q599" i="17" s="1"/>
  <c r="U599" i="17" s="1"/>
  <c r="M589" i="17"/>
  <c r="Q589" i="17" s="1"/>
  <c r="U589" i="17" s="1"/>
  <c r="M221" i="17"/>
  <c r="Q221" i="17" s="1"/>
  <c r="U221" i="17" s="1"/>
  <c r="M285" i="17"/>
  <c r="M144" i="17"/>
  <c r="M264" i="17"/>
  <c r="N392" i="17"/>
  <c r="M418" i="17"/>
  <c r="Q418" i="17" s="1"/>
  <c r="U418" i="17" s="1"/>
  <c r="N444" i="17"/>
  <c r="N521" i="17"/>
  <c r="Y521" i="17" s="1"/>
  <c r="M597" i="17"/>
  <c r="X597" i="17" s="1"/>
  <c r="N552" i="17"/>
  <c r="Y552" i="17" s="1"/>
  <c r="M580" i="17"/>
  <c r="Q580" i="17" s="1"/>
  <c r="U580" i="17" s="1"/>
  <c r="N500" i="17"/>
  <c r="R500" i="17" s="1"/>
  <c r="S500" i="17" s="1"/>
  <c r="N436" i="17"/>
  <c r="R436" i="17" s="1"/>
  <c r="S436" i="17" s="1"/>
  <c r="M474" i="17"/>
  <c r="M410" i="17"/>
  <c r="M346" i="17"/>
  <c r="N384" i="17"/>
  <c r="Y384" i="17" s="1"/>
  <c r="N320" i="17"/>
  <c r="R320" i="17" s="1"/>
  <c r="S320" i="17" s="1"/>
  <c r="M256" i="17"/>
  <c r="M192" i="17"/>
  <c r="M140" i="17"/>
  <c r="Q140" i="17" s="1"/>
  <c r="U140" i="17" s="1"/>
  <c r="M313" i="17"/>
  <c r="X313" i="17" s="1"/>
  <c r="M281" i="17"/>
  <c r="M249" i="17"/>
  <c r="X249" i="17" s="1"/>
  <c r="M217" i="17"/>
  <c r="Q217" i="17" s="1"/>
  <c r="U217" i="17" s="1"/>
  <c r="N598" i="17"/>
  <c r="R598" i="17" s="1"/>
  <c r="S598" i="17" s="1"/>
  <c r="M585" i="17"/>
  <c r="Q585" i="17" s="1"/>
  <c r="U585" i="17" s="1"/>
  <c r="M553" i="17"/>
  <c r="M595" i="17"/>
  <c r="Q595" i="17" s="1"/>
  <c r="U595" i="17" s="1"/>
  <c r="N582" i="17"/>
  <c r="N550" i="17"/>
  <c r="N543" i="17"/>
  <c r="R543" i="17" s="1"/>
  <c r="S543" i="17" s="1"/>
  <c r="M576" i="17"/>
  <c r="X576" i="17" s="1"/>
  <c r="N528" i="17"/>
  <c r="N498" i="17"/>
  <c r="N466" i="17"/>
  <c r="N434" i="17"/>
  <c r="R434" i="17" s="1"/>
  <c r="S434" i="17" s="1"/>
  <c r="M504" i="17"/>
  <c r="M472" i="17"/>
  <c r="M440" i="17"/>
  <c r="M408" i="17"/>
  <c r="Q408" i="17" s="1"/>
  <c r="U408" i="17" s="1"/>
  <c r="M376" i="17"/>
  <c r="M344" i="17"/>
  <c r="Q344" i="17" s="1"/>
  <c r="U344" i="17" s="1"/>
  <c r="N414" i="17"/>
  <c r="R414" i="17" s="1"/>
  <c r="S414" i="17" s="1"/>
  <c r="N382" i="17"/>
  <c r="R382" i="17" s="1"/>
  <c r="S382" i="17" s="1"/>
  <c r="N350" i="17"/>
  <c r="Y350" i="17" s="1"/>
  <c r="N318" i="17"/>
  <c r="M286" i="17"/>
  <c r="Q286" i="17" s="1"/>
  <c r="U286" i="17" s="1"/>
  <c r="M254" i="17"/>
  <c r="M222" i="17"/>
  <c r="X222" i="17" s="1"/>
  <c r="M190" i="17"/>
  <c r="M158" i="17"/>
  <c r="Q158" i="17" s="1"/>
  <c r="U158" i="17" s="1"/>
  <c r="M126" i="17"/>
  <c r="M299" i="17"/>
  <c r="Q299" i="17" s="1"/>
  <c r="U299" i="17" s="1"/>
  <c r="M267" i="17"/>
  <c r="M207" i="17"/>
  <c r="Q207" i="17" s="1"/>
  <c r="U207" i="17" s="1"/>
  <c r="M575" i="17"/>
  <c r="N557" i="17"/>
  <c r="M590" i="17"/>
  <c r="M535" i="17"/>
  <c r="Q535" i="17" s="1"/>
  <c r="U535" i="17" s="1"/>
  <c r="M505" i="17"/>
  <c r="Q505" i="17" s="1"/>
  <c r="U505" i="17" s="1"/>
  <c r="M473" i="17"/>
  <c r="Q473" i="17" s="1"/>
  <c r="U473" i="17" s="1"/>
  <c r="M441" i="17"/>
  <c r="N511" i="17"/>
  <c r="N479" i="17"/>
  <c r="R479" i="17" s="1"/>
  <c r="S479" i="17" s="1"/>
  <c r="N447" i="17"/>
  <c r="N415" i="17"/>
  <c r="N383" i="17"/>
  <c r="R383" i="17" s="1"/>
  <c r="S383" i="17" s="1"/>
  <c r="N351" i="17"/>
  <c r="N319" i="17"/>
  <c r="M389" i="17"/>
  <c r="Q389" i="17" s="1"/>
  <c r="U389" i="17" s="1"/>
  <c r="M357" i="17"/>
  <c r="Q357" i="17" s="1"/>
  <c r="U357" i="17" s="1"/>
  <c r="N623" i="17"/>
  <c r="R623" i="17" s="1"/>
  <c r="S623" i="17" s="1"/>
  <c r="M61" i="17"/>
  <c r="M29" i="17"/>
  <c r="N94" i="17"/>
  <c r="N62" i="17"/>
  <c r="R62" i="17" s="1"/>
  <c r="S62" i="17" s="1"/>
  <c r="N30" i="17"/>
  <c r="R30" i="17" s="1"/>
  <c r="S30" i="17" s="1"/>
  <c r="M102" i="17"/>
  <c r="M86" i="17"/>
  <c r="M70" i="17"/>
  <c r="Q70" i="17" s="1"/>
  <c r="U70" i="17" s="1"/>
  <c r="M54" i="17"/>
  <c r="M38" i="17"/>
  <c r="Q38" i="17" s="1"/>
  <c r="U38" i="17" s="1"/>
  <c r="M22" i="17"/>
  <c r="Q22" i="17" s="1"/>
  <c r="M135" i="17"/>
  <c r="Q135" i="17" s="1"/>
  <c r="U135" i="17" s="1"/>
  <c r="M133" i="17"/>
  <c r="Q133" i="17" s="1"/>
  <c r="U133" i="17" s="1"/>
  <c r="M623" i="17"/>
  <c r="M87" i="17"/>
  <c r="Q87" i="17" s="1"/>
  <c r="U87" i="17" s="1"/>
  <c r="M55" i="17"/>
  <c r="X55" i="17" s="1"/>
  <c r="M23" i="17"/>
  <c r="X23" i="17" s="1"/>
  <c r="N88" i="17"/>
  <c r="R88" i="17" s="1"/>
  <c r="S88" i="17" s="1"/>
  <c r="N56" i="17"/>
  <c r="R56" i="17" s="1"/>
  <c r="S56" i="17" s="1"/>
  <c r="N24" i="17"/>
  <c r="Y24" i="17" s="1"/>
  <c r="M111" i="17"/>
  <c r="Q111" i="17" s="1"/>
  <c r="U111" i="17" s="1"/>
  <c r="M108" i="17"/>
  <c r="N136" i="17"/>
  <c r="Y136" i="17" s="1"/>
  <c r="M495" i="17"/>
  <c r="Q495" i="17" s="1"/>
  <c r="U495" i="17" s="1"/>
  <c r="N106" i="17"/>
  <c r="M35" i="17"/>
  <c r="N232" i="17"/>
  <c r="R232" i="17" s="1"/>
  <c r="S232" i="17" s="1"/>
  <c r="M411" i="17"/>
  <c r="Q411" i="17" s="1"/>
  <c r="U411" i="17" s="1"/>
  <c r="N600" i="17"/>
  <c r="N26" i="17"/>
  <c r="M143" i="17"/>
  <c r="N84" i="17"/>
  <c r="R84" i="17" s="1"/>
  <c r="S84" i="17" s="1"/>
  <c r="N17" i="17"/>
  <c r="R17" i="17" s="1"/>
  <c r="S17" i="17" s="1"/>
  <c r="N248" i="17"/>
  <c r="N267" i="17"/>
  <c r="R267" i="17" s="1"/>
  <c r="S267" i="17" s="1"/>
  <c r="N421" i="17"/>
  <c r="R421" i="17" s="1"/>
  <c r="S421" i="17" s="1"/>
  <c r="M511" i="17"/>
  <c r="M169" i="17"/>
  <c r="Q169" i="17" s="1"/>
  <c r="U169" i="17" s="1"/>
  <c r="N254" i="17"/>
  <c r="M65" i="17"/>
  <c r="X65" i="17" s="1"/>
  <c r="N66" i="17"/>
  <c r="R66" i="17" s="1"/>
  <c r="S66" i="17" s="1"/>
  <c r="M72" i="17"/>
  <c r="M16" i="17"/>
  <c r="Q16" i="17" s="1"/>
  <c r="U16" i="17" s="1"/>
  <c r="M91" i="17"/>
  <c r="Q91" i="17" s="1"/>
  <c r="U91" i="17" s="1"/>
  <c r="N60" i="17"/>
  <c r="Y60" i="17" s="1"/>
  <c r="N85" i="17"/>
  <c r="N29" i="17"/>
  <c r="R29" i="17" s="1"/>
  <c r="S29" i="17" s="1"/>
  <c r="N128" i="17"/>
  <c r="N240" i="17"/>
  <c r="Y240" i="17" s="1"/>
  <c r="N131" i="17"/>
  <c r="N259" i="17"/>
  <c r="R259" i="17" s="1"/>
  <c r="S259" i="17" s="1"/>
  <c r="M371" i="17"/>
  <c r="Q371" i="17" s="1"/>
  <c r="U371" i="17" s="1"/>
  <c r="N381" i="17"/>
  <c r="R381" i="17" s="1"/>
  <c r="S381" i="17" s="1"/>
  <c r="N509" i="17"/>
  <c r="R509" i="17" s="1"/>
  <c r="S509" i="17" s="1"/>
  <c r="M503" i="17"/>
  <c r="N585" i="17"/>
  <c r="R585" i="17" s="1"/>
  <c r="S585" i="17" s="1"/>
  <c r="M185" i="17"/>
  <c r="N214" i="17"/>
  <c r="R214" i="17" s="1"/>
  <c r="S214" i="17" s="1"/>
  <c r="N310" i="17"/>
  <c r="R310" i="17" s="1"/>
  <c r="S310" i="17" s="1"/>
  <c r="N185" i="17"/>
  <c r="N241" i="17"/>
  <c r="R241" i="17" s="1"/>
  <c r="S241" i="17" s="1"/>
  <c r="N297" i="17"/>
  <c r="R297" i="17" s="1"/>
  <c r="S297" i="17" s="1"/>
  <c r="M393" i="17"/>
  <c r="N387" i="17"/>
  <c r="N499" i="17"/>
  <c r="R499" i="17" s="1"/>
  <c r="S499" i="17" s="1"/>
  <c r="M523" i="17"/>
  <c r="M583" i="17"/>
  <c r="Q583" i="17" s="1"/>
  <c r="U583" i="17" s="1"/>
  <c r="M303" i="17"/>
  <c r="M210" i="17"/>
  <c r="X210" i="17" s="1"/>
  <c r="M290" i="17"/>
  <c r="N370" i="17"/>
  <c r="R370" i="17" s="1"/>
  <c r="S370" i="17" s="1"/>
  <c r="M364" i="17"/>
  <c r="Q364" i="17" s="1"/>
  <c r="U364" i="17" s="1"/>
  <c r="M444" i="17"/>
  <c r="N422" i="17"/>
  <c r="R422" i="17" s="1"/>
  <c r="S422" i="17" s="1"/>
  <c r="M518" i="17"/>
  <c r="Q518" i="17" s="1"/>
  <c r="U518" i="17" s="1"/>
  <c r="N551" i="17"/>
  <c r="R551" i="17" s="1"/>
  <c r="S551" i="17" s="1"/>
  <c r="M602" i="17"/>
  <c r="X602" i="17" s="1"/>
  <c r="N605" i="17"/>
  <c r="M253" i="17"/>
  <c r="Q253" i="17" s="1"/>
  <c r="U253" i="17" s="1"/>
  <c r="M128" i="17"/>
  <c r="Q128" i="17" s="1"/>
  <c r="U128" i="17" s="1"/>
  <c r="M296" i="17"/>
  <c r="M354" i="17"/>
  <c r="M514" i="17"/>
  <c r="Q514" i="17" s="1"/>
  <c r="U514" i="17" s="1"/>
  <c r="N563" i="17"/>
  <c r="Y563" i="17" s="1"/>
  <c r="N584" i="17"/>
  <c r="N529" i="17"/>
  <c r="N484" i="17"/>
  <c r="M506" i="17"/>
  <c r="M426" i="17"/>
  <c r="Q426" i="17" s="1"/>
  <c r="U426" i="17" s="1"/>
  <c r="M330" i="17"/>
  <c r="N352" i="17"/>
  <c r="M272" i="17"/>
  <c r="Q272" i="17" s="1"/>
  <c r="U272" i="17" s="1"/>
  <c r="M176" i="17"/>
  <c r="M124" i="17"/>
  <c r="Q124" i="17" s="1"/>
  <c r="U124" i="17" s="1"/>
  <c r="M289" i="17"/>
  <c r="M241" i="17"/>
  <c r="M201" i="17"/>
  <c r="Q201" i="17" s="1"/>
  <c r="U201" i="17" s="1"/>
  <c r="M593" i="17"/>
  <c r="M545" i="17"/>
  <c r="M598" i="17"/>
  <c r="N558" i="17"/>
  <c r="Y558" i="17" s="1"/>
  <c r="N535" i="17"/>
  <c r="M544" i="17"/>
  <c r="X544" i="17" s="1"/>
  <c r="N506" i="17"/>
  <c r="N458" i="17"/>
  <c r="R458" i="17" s="1"/>
  <c r="S458" i="17" s="1"/>
  <c r="N418" i="17"/>
  <c r="R418" i="17" s="1"/>
  <c r="S418" i="17" s="1"/>
  <c r="M480" i="17"/>
  <c r="M432" i="17"/>
  <c r="M392" i="17"/>
  <c r="Q392" i="17" s="1"/>
  <c r="U392" i="17" s="1"/>
  <c r="M352" i="17"/>
  <c r="N406" i="17"/>
  <c r="R406" i="17" s="1"/>
  <c r="S406" i="17" s="1"/>
  <c r="N366" i="17"/>
  <c r="Y366" i="17" s="1"/>
  <c r="N326" i="17"/>
  <c r="M278" i="17"/>
  <c r="M238" i="17"/>
  <c r="Q238" i="17" s="1"/>
  <c r="M198" i="17"/>
  <c r="M150" i="17"/>
  <c r="Q150" i="17" s="1"/>
  <c r="U150" i="17" s="1"/>
  <c r="M110" i="17"/>
  <c r="Q110" i="17" s="1"/>
  <c r="M275" i="17"/>
  <c r="N604" i="17"/>
  <c r="N593" i="17"/>
  <c r="M526" i="17"/>
  <c r="Q526" i="17" s="1"/>
  <c r="U526" i="17" s="1"/>
  <c r="M527" i="17"/>
  <c r="M489" i="17"/>
  <c r="M449" i="17"/>
  <c r="X449" i="17" s="1"/>
  <c r="N503" i="17"/>
  <c r="N463" i="17"/>
  <c r="N423" i="17"/>
  <c r="R423" i="17" s="1"/>
  <c r="S423" i="17" s="1"/>
  <c r="N375" i="17"/>
  <c r="Y375" i="17" s="1"/>
  <c r="N335" i="17"/>
  <c r="M397" i="17"/>
  <c r="Q397" i="17" s="1"/>
  <c r="U397" i="17" s="1"/>
  <c r="M349" i="17"/>
  <c r="M89" i="17"/>
  <c r="M37" i="17"/>
  <c r="N86" i="17"/>
  <c r="N46" i="17"/>
  <c r="R46" i="17" s="1"/>
  <c r="S46" i="17" s="1"/>
  <c r="M106" i="17"/>
  <c r="M82" i="17"/>
  <c r="M62" i="17"/>
  <c r="Q62" i="17" s="1"/>
  <c r="U62" i="17" s="1"/>
  <c r="M42" i="17"/>
  <c r="Q42" i="17" s="1"/>
  <c r="U42" i="17" s="1"/>
  <c r="M18" i="17"/>
  <c r="Q18" i="17" s="1"/>
  <c r="M167" i="17"/>
  <c r="M77" i="17"/>
  <c r="Q77" i="17" s="1"/>
  <c r="U77" i="17" s="1"/>
  <c r="M79" i="17"/>
  <c r="Q79" i="17" s="1"/>
  <c r="U79" i="17" s="1"/>
  <c r="M39" i="17"/>
  <c r="Q39" i="17" s="1"/>
  <c r="U39" i="17" s="1"/>
  <c r="N96" i="17"/>
  <c r="R96" i="17" s="1"/>
  <c r="S96" i="17" s="1"/>
  <c r="N48" i="17"/>
  <c r="R48" i="17" s="1"/>
  <c r="S48" i="17" s="1"/>
  <c r="N107" i="17"/>
  <c r="R107" i="17" s="1"/>
  <c r="S107" i="17" s="1"/>
  <c r="N91" i="17"/>
  <c r="Y91" i="17" s="1"/>
  <c r="N75" i="17"/>
  <c r="N59" i="17"/>
  <c r="R59" i="17" s="1"/>
  <c r="S59" i="17" s="1"/>
  <c r="N43" i="17"/>
  <c r="R43" i="17" s="1"/>
  <c r="S43" i="17" s="1"/>
  <c r="N27" i="17"/>
  <c r="R27" i="17" s="1"/>
  <c r="S27" i="17" s="1"/>
  <c r="M115" i="17"/>
  <c r="M183" i="17"/>
  <c r="Q183" i="17" s="1"/>
  <c r="U183" i="17" s="1"/>
  <c r="M181" i="17"/>
  <c r="X181" i="17" s="1"/>
  <c r="N132" i="17"/>
  <c r="N164" i="17"/>
  <c r="R164" i="17" s="1"/>
  <c r="S164" i="17" s="1"/>
  <c r="N196" i="17"/>
  <c r="N228" i="17"/>
  <c r="R228" i="17" s="1"/>
  <c r="S228" i="17" s="1"/>
  <c r="N260" i="17"/>
  <c r="Y260" i="17" s="1"/>
  <c r="N292" i="17"/>
  <c r="N119" i="17"/>
  <c r="N151" i="17"/>
  <c r="R151" i="17" s="1"/>
  <c r="S151" i="17" s="1"/>
  <c r="N183" i="17"/>
  <c r="Y183" i="17" s="1"/>
  <c r="N215" i="17"/>
  <c r="N247" i="17"/>
  <c r="R247" i="17" s="1"/>
  <c r="S247" i="17" s="1"/>
  <c r="N279" i="17"/>
  <c r="R279" i="17" s="1"/>
  <c r="S279" i="17" s="1"/>
  <c r="N311" i="17"/>
  <c r="Y311" i="17" s="1"/>
  <c r="M343" i="17"/>
  <c r="Q343" i="17" s="1"/>
  <c r="U343" i="17" s="1"/>
  <c r="M375" i="17"/>
  <c r="M407" i="17"/>
  <c r="Q407" i="17" s="1"/>
  <c r="U407" i="17" s="1"/>
  <c r="N337" i="17"/>
  <c r="R337" i="17" s="1"/>
  <c r="S337" i="17" s="1"/>
  <c r="N369" i="17"/>
  <c r="R369" i="17" s="1"/>
  <c r="S369" i="17" s="1"/>
  <c r="N401" i="17"/>
  <c r="N433" i="17"/>
  <c r="R433" i="17" s="1"/>
  <c r="S433" i="17" s="1"/>
  <c r="N465" i="17"/>
  <c r="N497" i="17"/>
  <c r="M427" i="17"/>
  <c r="Q427" i="17" s="1"/>
  <c r="U427" i="17" s="1"/>
  <c r="M459" i="17"/>
  <c r="M491" i="17"/>
  <c r="Q491" i="17" s="1"/>
  <c r="U491" i="17" s="1"/>
  <c r="M521" i="17"/>
  <c r="M562" i="17"/>
  <c r="Q562" i="17" s="1"/>
  <c r="U562" i="17" s="1"/>
  <c r="M536" i="17"/>
  <c r="Q536" i="17" s="1"/>
  <c r="U536" i="17" s="1"/>
  <c r="M547" i="17"/>
  <c r="N611" i="17"/>
  <c r="R611" i="17" s="1"/>
  <c r="S611" i="17" s="1"/>
  <c r="M243" i="17"/>
  <c r="X243" i="17" s="1"/>
  <c r="M129" i="17"/>
  <c r="X129" i="17" s="1"/>
  <c r="M193" i="17"/>
  <c r="X193" i="17" s="1"/>
  <c r="N138" i="17"/>
  <c r="R138" i="17" s="1"/>
  <c r="S138" i="17" s="1"/>
  <c r="N170" i="17"/>
  <c r="R170" i="17" s="1"/>
  <c r="S170" i="17" s="1"/>
  <c r="N202" i="17"/>
  <c r="N234" i="17"/>
  <c r="R234" i="17" s="1"/>
  <c r="S234" i="17" s="1"/>
  <c r="N266" i="17"/>
  <c r="N298" i="17"/>
  <c r="R298" i="17" s="1"/>
  <c r="S298" i="17" s="1"/>
  <c r="N125" i="17"/>
  <c r="N157" i="17"/>
  <c r="R157" i="17" s="1"/>
  <c r="S157" i="17" s="1"/>
  <c r="N189" i="17"/>
  <c r="N221" i="17"/>
  <c r="N253" i="17"/>
  <c r="Y253" i="17" s="1"/>
  <c r="N285" i="17"/>
  <c r="R285" i="17" s="1"/>
  <c r="S285" i="17" s="1"/>
  <c r="M317" i="17"/>
  <c r="Q317" i="17" s="1"/>
  <c r="U317" i="17" s="1"/>
  <c r="M369" i="17"/>
  <c r="Q369" i="17" s="1"/>
  <c r="U369" i="17" s="1"/>
  <c r="N331" i="17"/>
  <c r="R331" i="17" s="1"/>
  <c r="S331" i="17" s="1"/>
  <c r="N395" i="17"/>
  <c r="N459" i="17"/>
  <c r="R459" i="17" s="1"/>
  <c r="S459" i="17" s="1"/>
  <c r="M421" i="17"/>
  <c r="Q421" i="17" s="1"/>
  <c r="U421" i="17" s="1"/>
  <c r="M485" i="17"/>
  <c r="X485" i="17" s="1"/>
  <c r="M550" i="17"/>
  <c r="X550" i="17" s="1"/>
  <c r="N581" i="17"/>
  <c r="M231" i="17"/>
  <c r="Q231" i="17" s="1"/>
  <c r="U231" i="17" s="1"/>
  <c r="M311" i="17"/>
  <c r="Q311" i="17" s="1"/>
  <c r="U311" i="17" s="1"/>
  <c r="M170" i="17"/>
  <c r="M234" i="17"/>
  <c r="M298" i="17"/>
  <c r="Q298" i="17" s="1"/>
  <c r="U298" i="17" s="1"/>
  <c r="N362" i="17"/>
  <c r="R362" i="17" s="1"/>
  <c r="S362" i="17" s="1"/>
  <c r="M324" i="17"/>
  <c r="M388" i="17"/>
  <c r="Q388" i="17" s="1"/>
  <c r="U388" i="17" s="1"/>
  <c r="M452" i="17"/>
  <c r="Q452" i="17" s="1"/>
  <c r="U452" i="17" s="1"/>
  <c r="M516" i="17"/>
  <c r="N478" i="17"/>
  <c r="N540" i="17"/>
  <c r="N567" i="17"/>
  <c r="Y567" i="17" s="1"/>
  <c r="N594" i="17"/>
  <c r="R594" i="17" s="1"/>
  <c r="S594" i="17" s="1"/>
  <c r="M565" i="17"/>
  <c r="N610" i="17"/>
  <c r="M261" i="17"/>
  <c r="Q261" i="17" s="1"/>
  <c r="U261" i="17" s="1"/>
  <c r="M120" i="17"/>
  <c r="Q120" i="17" s="1"/>
  <c r="U120" i="17" s="1"/>
  <c r="M216" i="17"/>
  <c r="X216" i="17" s="1"/>
  <c r="N344" i="17"/>
  <c r="M370" i="17"/>
  <c r="M498" i="17"/>
  <c r="N522" i="17"/>
  <c r="R522" i="17" s="1"/>
  <c r="S522" i="17" s="1"/>
  <c r="N576" i="17"/>
  <c r="R576" i="17" s="1"/>
  <c r="S576" i="17" s="1"/>
  <c r="M164" i="17"/>
  <c r="Q164" i="17" s="1"/>
  <c r="U164" i="17" s="1"/>
  <c r="M196" i="17"/>
  <c r="Q196" i="17" s="1"/>
  <c r="U196" i="17" s="1"/>
  <c r="M228" i="17"/>
  <c r="M260" i="17"/>
  <c r="Q260" i="17" s="1"/>
  <c r="U260" i="17" s="1"/>
  <c r="M292" i="17"/>
  <c r="Q292" i="17" s="1"/>
  <c r="U292" i="17" s="1"/>
  <c r="N324" i="17"/>
  <c r="N356" i="17"/>
  <c r="N388" i="17"/>
  <c r="M318" i="17"/>
  <c r="Q318" i="17" s="1"/>
  <c r="U318" i="17" s="1"/>
  <c r="M350" i="17"/>
  <c r="Q350" i="17" s="1"/>
  <c r="U350" i="17" s="1"/>
  <c r="M382" i="17"/>
  <c r="M414" i="17"/>
  <c r="Q414" i="17" s="1"/>
  <c r="U414" i="17" s="1"/>
  <c r="M446" i="17"/>
  <c r="Q446" i="17" s="1"/>
  <c r="U446" i="17" s="1"/>
  <c r="M478" i="17"/>
  <c r="Q478" i="17" s="1"/>
  <c r="U478" i="17" s="1"/>
  <c r="M510" i="17"/>
  <c r="N440" i="17"/>
  <c r="N472" i="17"/>
  <c r="N504" i="17"/>
  <c r="R504" i="17" s="1"/>
  <c r="S504" i="17" s="1"/>
  <c r="N534" i="17"/>
  <c r="M588" i="17"/>
  <c r="N555" i="17"/>
  <c r="R555" i="17" s="1"/>
  <c r="S555" i="17" s="1"/>
  <c r="N556" i="17"/>
  <c r="R556" i="17" s="1"/>
  <c r="S556" i="17" s="1"/>
  <c r="N588" i="17"/>
  <c r="M601" i="17"/>
  <c r="Q601" i="17" s="1"/>
  <c r="U601" i="17" s="1"/>
  <c r="N36" i="17"/>
  <c r="M44" i="17"/>
  <c r="X44" i="17" s="1"/>
  <c r="N341" i="17"/>
  <c r="R341" i="17" s="1"/>
  <c r="S341" i="17" s="1"/>
  <c r="M431" i="17"/>
  <c r="N42" i="17"/>
  <c r="N105" i="17"/>
  <c r="N296" i="17"/>
  <c r="R296" i="17" s="1"/>
  <c r="S296" i="17" s="1"/>
  <c r="N437" i="17"/>
  <c r="R437" i="17" s="1"/>
  <c r="S437" i="17" s="1"/>
  <c r="M622" i="17"/>
  <c r="M100" i="17"/>
  <c r="N626" i="17"/>
  <c r="N97" i="17"/>
  <c r="M157" i="17"/>
  <c r="X157" i="17" s="1"/>
  <c r="N280" i="17"/>
  <c r="R280" i="17" s="1"/>
  <c r="S280" i="17" s="1"/>
  <c r="M331" i="17"/>
  <c r="N453" i="17"/>
  <c r="M524" i="17"/>
  <c r="N174" i="17"/>
  <c r="Y174" i="17" s="1"/>
  <c r="N270" i="17"/>
  <c r="Y270" i="17" s="1"/>
  <c r="M49" i="17"/>
  <c r="N18" i="17"/>
  <c r="R18" i="17" s="1"/>
  <c r="S18" i="17" s="1"/>
  <c r="M56" i="17"/>
  <c r="Q56" i="17" s="1"/>
  <c r="U56" i="17" s="1"/>
  <c r="M127" i="17"/>
  <c r="X127" i="17" s="1"/>
  <c r="M59" i="17"/>
  <c r="Q59" i="17" s="1"/>
  <c r="U59" i="17" s="1"/>
  <c r="N44" i="17"/>
  <c r="N69" i="17"/>
  <c r="Y69" i="17" s="1"/>
  <c r="M139" i="17"/>
  <c r="X139" i="17" s="1"/>
  <c r="N144" i="17"/>
  <c r="R144" i="17" s="1"/>
  <c r="S144" i="17" s="1"/>
  <c r="N256" i="17"/>
  <c r="N179" i="17"/>
  <c r="N291" i="17"/>
  <c r="M387" i="17"/>
  <c r="Q387" i="17" s="1"/>
  <c r="U387" i="17" s="1"/>
  <c r="N413" i="17"/>
  <c r="M423" i="17"/>
  <c r="Q423" i="17" s="1"/>
  <c r="U423" i="17" s="1"/>
  <c r="M533" i="17"/>
  <c r="Q533" i="17" s="1"/>
  <c r="U533" i="17" s="1"/>
  <c r="M203" i="17"/>
  <c r="Q203" i="17" s="1"/>
  <c r="U203" i="17" s="1"/>
  <c r="N118" i="17"/>
  <c r="R118" i="17" s="1"/>
  <c r="S118" i="17" s="1"/>
  <c r="N230" i="17"/>
  <c r="R230" i="17" s="1"/>
  <c r="S230" i="17" s="1"/>
  <c r="N145" i="17"/>
  <c r="N201" i="17"/>
  <c r="R201" i="17" s="1"/>
  <c r="S201" i="17" s="1"/>
  <c r="N249" i="17"/>
  <c r="N313" i="17"/>
  <c r="M409" i="17"/>
  <c r="N419" i="17"/>
  <c r="R419" i="17" s="1"/>
  <c r="S419" i="17" s="1"/>
  <c r="M445" i="17"/>
  <c r="X445" i="17" s="1"/>
  <c r="M539" i="17"/>
  <c r="Q539" i="17" s="1"/>
  <c r="U539" i="17" s="1"/>
  <c r="N596" i="17"/>
  <c r="R596" i="17" s="1"/>
  <c r="S596" i="17" s="1"/>
  <c r="M146" i="17"/>
  <c r="M226" i="17"/>
  <c r="M306" i="17"/>
  <c r="Q306" i="17" s="1"/>
  <c r="U306" i="17" s="1"/>
  <c r="N402" i="17"/>
  <c r="Y402" i="17" s="1"/>
  <c r="M380" i="17"/>
  <c r="Q380" i="17" s="1"/>
  <c r="U380" i="17" s="1"/>
  <c r="M460" i="17"/>
  <c r="Q460" i="17" s="1"/>
  <c r="U460" i="17" s="1"/>
  <c r="N454" i="17"/>
  <c r="R454" i="17" s="1"/>
  <c r="S454" i="17" s="1"/>
  <c r="N532" i="17"/>
  <c r="R532" i="17" s="1"/>
  <c r="S532" i="17" s="1"/>
  <c r="N583" i="17"/>
  <c r="N589" i="17"/>
  <c r="R589" i="17" s="1"/>
  <c r="S589" i="17" s="1"/>
  <c r="N602" i="17"/>
  <c r="Y602" i="17" s="1"/>
  <c r="M269" i="17"/>
  <c r="X269" i="17" s="1"/>
  <c r="M168" i="17"/>
  <c r="N328" i="17"/>
  <c r="Y328" i="17" s="1"/>
  <c r="M386" i="17"/>
  <c r="Q386" i="17" s="1"/>
  <c r="U386" i="17" s="1"/>
  <c r="N476" i="17"/>
  <c r="N560" i="17"/>
  <c r="N568" i="17"/>
  <c r="R568" i="17" s="1"/>
  <c r="S568" i="17" s="1"/>
  <c r="M548" i="17"/>
  <c r="Q548" i="17" s="1"/>
  <c r="U548" i="17" s="1"/>
  <c r="N468" i="17"/>
  <c r="M490" i="17"/>
  <c r="Q490" i="17" s="1"/>
  <c r="U490" i="17" s="1"/>
  <c r="M394" i="17"/>
  <c r="Q394" i="17" s="1"/>
  <c r="U394" i="17" s="1"/>
  <c r="N416" i="17"/>
  <c r="N336" i="17"/>
  <c r="M240" i="17"/>
  <c r="Q240" i="17" s="1"/>
  <c r="U240" i="17" s="1"/>
  <c r="M160" i="17"/>
  <c r="X160" i="17" s="1"/>
  <c r="M116" i="17"/>
  <c r="Q116" i="17" s="1"/>
  <c r="U116" i="17" s="1"/>
  <c r="M273" i="17"/>
  <c r="M233" i="17"/>
  <c r="Q233" i="17" s="1"/>
  <c r="U233" i="17" s="1"/>
  <c r="N606" i="17"/>
  <c r="R606" i="17" s="1"/>
  <c r="S606" i="17" s="1"/>
  <c r="M577" i="17"/>
  <c r="Q577" i="17" s="1"/>
  <c r="U577" i="17" s="1"/>
  <c r="M611" i="17"/>
  <c r="X611" i="17" s="1"/>
  <c r="N590" i="17"/>
  <c r="R590" i="17" s="1"/>
  <c r="S590" i="17" s="1"/>
  <c r="N591" i="17"/>
  <c r="N527" i="17"/>
  <c r="Y527" i="17" s="1"/>
  <c r="N536" i="17"/>
  <c r="Y536" i="17" s="1"/>
  <c r="N490" i="17"/>
  <c r="N450" i="17"/>
  <c r="R450" i="17" s="1"/>
  <c r="S450" i="17" s="1"/>
  <c r="M512" i="17"/>
  <c r="M464" i="17"/>
  <c r="M424" i="17"/>
  <c r="Q424" i="17" s="1"/>
  <c r="U424" i="17" s="1"/>
  <c r="M384" i="17"/>
  <c r="Q384" i="17" s="1"/>
  <c r="U384" i="17" s="1"/>
  <c r="M336" i="17"/>
  <c r="X336" i="17" s="1"/>
  <c r="N398" i="17"/>
  <c r="Y398" i="17" s="1"/>
  <c r="N358" i="17"/>
  <c r="M310" i="17"/>
  <c r="X310" i="17" s="1"/>
  <c r="M270" i="17"/>
  <c r="X270" i="17" s="1"/>
  <c r="M230" i="17"/>
  <c r="Q230" i="17" s="1"/>
  <c r="U230" i="17" s="1"/>
  <c r="M182" i="17"/>
  <c r="Q182" i="17" s="1"/>
  <c r="U182" i="17" s="1"/>
  <c r="M142" i="17"/>
  <c r="M307" i="17"/>
  <c r="Q307" i="17" s="1"/>
  <c r="U307" i="17" s="1"/>
  <c r="M255" i="17"/>
  <c r="Q255" i="17" s="1"/>
  <c r="U255" i="17" s="1"/>
  <c r="N607" i="17"/>
  <c r="R607" i="17" s="1"/>
  <c r="S607" i="17" s="1"/>
  <c r="N573" i="17"/>
  <c r="M574" i="17"/>
  <c r="Q574" i="17" s="1"/>
  <c r="U574" i="17" s="1"/>
  <c r="M519" i="17"/>
  <c r="M604" i="17"/>
  <c r="Q604" i="17" s="1"/>
  <c r="U604" i="17" s="1"/>
  <c r="N564" i="17"/>
  <c r="R564" i="17" s="1"/>
  <c r="S564" i="17" s="1"/>
  <c r="N541" i="17"/>
  <c r="M556" i="17"/>
  <c r="N512" i="17"/>
  <c r="N464" i="17"/>
  <c r="Y464" i="17" s="1"/>
  <c r="N424" i="17"/>
  <c r="R424" i="17" s="1"/>
  <c r="S424" i="17" s="1"/>
  <c r="M486" i="17"/>
  <c r="M438" i="17"/>
  <c r="Q438" i="17" s="1"/>
  <c r="U438" i="17" s="1"/>
  <c r="M398" i="17"/>
  <c r="M358" i="17"/>
  <c r="N412" i="17"/>
  <c r="R412" i="17" s="1"/>
  <c r="S412" i="17" s="1"/>
  <c r="N372" i="17"/>
  <c r="N332" i="17"/>
  <c r="R332" i="17" s="1"/>
  <c r="S332" i="17" s="1"/>
  <c r="M284" i="17"/>
  <c r="M244" i="17"/>
  <c r="Q244" i="17" s="1"/>
  <c r="U244" i="17" s="1"/>
  <c r="M204" i="17"/>
  <c r="M156" i="17"/>
  <c r="Q156" i="17" s="1"/>
  <c r="U156" i="17" s="1"/>
  <c r="N537" i="17"/>
  <c r="Y537" i="17" s="1"/>
  <c r="N428" i="17"/>
  <c r="M338" i="17"/>
  <c r="M280" i="17"/>
  <c r="Q280" i="17" s="1"/>
  <c r="U280" i="17" s="1"/>
  <c r="M136" i="17"/>
  <c r="M245" i="17"/>
  <c r="N597" i="17"/>
  <c r="M610" i="17"/>
  <c r="N539" i="17"/>
  <c r="N510" i="17"/>
  <c r="N430" i="17"/>
  <c r="M436" i="17"/>
  <c r="M356" i="17"/>
  <c r="Q356" i="17" s="1"/>
  <c r="U356" i="17" s="1"/>
  <c r="N378" i="17"/>
  <c r="Y378" i="17" s="1"/>
  <c r="M282" i="17"/>
  <c r="Q282" i="17" s="1"/>
  <c r="U282" i="17" s="1"/>
  <c r="M202" i="17"/>
  <c r="X202" i="17" s="1"/>
  <c r="M122" i="17"/>
  <c r="Q122" i="17" s="1"/>
  <c r="U122" i="17" s="1"/>
  <c r="N612" i="17"/>
  <c r="Y612" i="17" s="1"/>
  <c r="M530" i="17"/>
  <c r="M501" i="17"/>
  <c r="Q501" i="17" s="1"/>
  <c r="U501" i="17" s="1"/>
  <c r="N507" i="17"/>
  <c r="R507" i="17" s="1"/>
  <c r="S507" i="17" s="1"/>
  <c r="N427" i="17"/>
  <c r="R427" i="17" s="1"/>
  <c r="S427" i="17" s="1"/>
  <c r="N347" i="17"/>
  <c r="M353" i="17"/>
  <c r="N301" i="17"/>
  <c r="Y301" i="17" s="1"/>
  <c r="N261" i="17"/>
  <c r="R261" i="17" s="1"/>
  <c r="S261" i="17" s="1"/>
  <c r="N213" i="17"/>
  <c r="Y213" i="17" s="1"/>
  <c r="N173" i="17"/>
  <c r="N133" i="17"/>
  <c r="N290" i="17"/>
  <c r="Y290" i="17" s="1"/>
  <c r="N250" i="17"/>
  <c r="N210" i="17"/>
  <c r="N162" i="17"/>
  <c r="Y162" i="17" s="1"/>
  <c r="N122" i="17"/>
  <c r="Y122" i="17" s="1"/>
  <c r="M145" i="17"/>
  <c r="Q145" i="17" s="1"/>
  <c r="U145" i="17" s="1"/>
  <c r="M227" i="17"/>
  <c r="M579" i="17"/>
  <c r="Q579" i="17" s="1"/>
  <c r="U579" i="17" s="1"/>
  <c r="N545" i="17"/>
  <c r="R545" i="17" s="1"/>
  <c r="S545" i="17" s="1"/>
  <c r="M546" i="17"/>
  <c r="M507" i="17"/>
  <c r="Q507" i="17" s="1"/>
  <c r="U507" i="17" s="1"/>
  <c r="M467" i="17"/>
  <c r="X467" i="17" s="1"/>
  <c r="M419" i="17"/>
  <c r="X419" i="17" s="1"/>
  <c r="N481" i="17"/>
  <c r="R481" i="17" s="1"/>
  <c r="S481" i="17" s="1"/>
  <c r="N441" i="17"/>
  <c r="N393" i="17"/>
  <c r="R393" i="17" s="1"/>
  <c r="S393" i="17" s="1"/>
  <c r="N353" i="17"/>
  <c r="Y353" i="17" s="1"/>
  <c r="M415" i="17"/>
  <c r="M367" i="17"/>
  <c r="Q367" i="17" s="1"/>
  <c r="U367" i="17" s="1"/>
  <c r="M327" i="17"/>
  <c r="Q327" i="17" s="1"/>
  <c r="U327" i="17" s="1"/>
  <c r="N287" i="17"/>
  <c r="Y287" i="17" s="1"/>
  <c r="N239" i="17"/>
  <c r="N199" i="17"/>
  <c r="R199" i="17" s="1"/>
  <c r="S199" i="17" s="1"/>
  <c r="N159" i="17"/>
  <c r="N111" i="17"/>
  <c r="Y111" i="17" s="1"/>
  <c r="N276" i="17"/>
  <c r="R276" i="17" s="1"/>
  <c r="S276" i="17" s="1"/>
  <c r="N236" i="17"/>
  <c r="N188" i="17"/>
  <c r="R188" i="17" s="1"/>
  <c r="S188" i="17" s="1"/>
  <c r="N148" i="17"/>
  <c r="M197" i="17"/>
  <c r="M163" i="17"/>
  <c r="Q163" i="17" s="1"/>
  <c r="U163" i="17" s="1"/>
  <c r="N19" i="17"/>
  <c r="R19" i="17" s="1"/>
  <c r="S19" i="17" s="1"/>
  <c r="N39" i="17"/>
  <c r="R39" i="17" s="1"/>
  <c r="S39" i="17" s="1"/>
  <c r="N63" i="17"/>
  <c r="N83" i="17"/>
  <c r="R83" i="17" s="1"/>
  <c r="S83" i="17" s="1"/>
  <c r="N103" i="17"/>
  <c r="R103" i="17" s="1"/>
  <c r="S103" i="17" s="1"/>
  <c r="N64" i="17"/>
  <c r="M15" i="17"/>
  <c r="M71" i="17"/>
  <c r="Q71" i="17" s="1"/>
  <c r="U71" i="17" s="1"/>
  <c r="M93" i="17"/>
  <c r="X93" i="17" s="1"/>
  <c r="M119" i="17"/>
  <c r="X119" i="17" s="1"/>
  <c r="M34" i="17"/>
  <c r="M66" i="17"/>
  <c r="M94" i="17"/>
  <c r="X94" i="17" s="1"/>
  <c r="N38" i="17"/>
  <c r="Y38" i="17" s="1"/>
  <c r="N102" i="17"/>
  <c r="M53" i="17"/>
  <c r="Q53" i="17" s="1"/>
  <c r="U53" i="17" s="1"/>
  <c r="M341" i="17"/>
  <c r="M405" i="17"/>
  <c r="X405" i="17" s="1"/>
  <c r="N359" i="17"/>
  <c r="N407" i="17"/>
  <c r="R407" i="17" s="1"/>
  <c r="S407" i="17" s="1"/>
  <c r="N471" i="17"/>
  <c r="R471" i="17" s="1"/>
  <c r="S471" i="17" s="1"/>
  <c r="M425" i="17"/>
  <c r="X425" i="17" s="1"/>
  <c r="M481" i="17"/>
  <c r="M558" i="17"/>
  <c r="M591" i="17"/>
  <c r="Q591" i="17" s="1"/>
  <c r="U591" i="17" s="1"/>
  <c r="M291" i="17"/>
  <c r="Q291" i="17" s="1"/>
  <c r="U291" i="17" s="1"/>
  <c r="M174" i="17"/>
  <c r="M262" i="17"/>
  <c r="X262" i="17" s="1"/>
  <c r="N342" i="17"/>
  <c r="R342" i="17" s="1"/>
  <c r="S342" i="17" s="1"/>
  <c r="M328" i="17"/>
  <c r="M416" i="17"/>
  <c r="Q416" i="17" s="1"/>
  <c r="U416" i="17" s="1"/>
  <c r="M496" i="17"/>
  <c r="N482" i="17"/>
  <c r="R482" i="17" s="1"/>
  <c r="S482" i="17" s="1"/>
  <c r="M592" i="17"/>
  <c r="Q592" i="17" s="1"/>
  <c r="U592" i="17" s="1"/>
  <c r="N574" i="17"/>
  <c r="M569" i="17"/>
  <c r="M225" i="17"/>
  <c r="Q225" i="17" s="1"/>
  <c r="U225" i="17" s="1"/>
  <c r="M305" i="17"/>
  <c r="M224" i="17"/>
  <c r="N400" i="17"/>
  <c r="Y400" i="17" s="1"/>
  <c r="M458" i="17"/>
  <c r="X458" i="17" s="1"/>
  <c r="N530" i="17"/>
  <c r="M613" i="17"/>
  <c r="Q613" i="17" s="1"/>
  <c r="M450" i="17"/>
  <c r="M200" i="17"/>
  <c r="X200" i="17" s="1"/>
  <c r="M205" i="17"/>
  <c r="N570" i="17"/>
  <c r="N470" i="17"/>
  <c r="Y470" i="17" s="1"/>
  <c r="M396" i="17"/>
  <c r="Q396" i="17" s="1"/>
  <c r="U396" i="17" s="1"/>
  <c r="N338" i="17"/>
  <c r="R338" i="17" s="1"/>
  <c r="S338" i="17" s="1"/>
  <c r="M162" i="17"/>
  <c r="X162" i="17" s="1"/>
  <c r="M522" i="17"/>
  <c r="N451" i="17"/>
  <c r="R451" i="17" s="1"/>
  <c r="S451" i="17" s="1"/>
  <c r="M329" i="17"/>
  <c r="Q329" i="17" s="1"/>
  <c r="U329" i="17" s="1"/>
  <c r="N209" i="17"/>
  <c r="N278" i="17"/>
  <c r="R278" i="17" s="1"/>
  <c r="S278" i="17" s="1"/>
  <c r="M235" i="17"/>
  <c r="Q235" i="17" s="1"/>
  <c r="U235" i="17" s="1"/>
  <c r="M439" i="17"/>
  <c r="Q439" i="17" s="1"/>
  <c r="U439" i="17" s="1"/>
  <c r="N333" i="17"/>
  <c r="Y333" i="17" s="1"/>
  <c r="N195" i="17"/>
  <c r="Y195" i="17" s="1"/>
  <c r="N176" i="17"/>
  <c r="N53" i="17"/>
  <c r="R53" i="17" s="1"/>
  <c r="S53" i="17" s="1"/>
  <c r="M27" i="17"/>
  <c r="M48" i="17"/>
  <c r="X48" i="17" s="1"/>
  <c r="N98" i="17"/>
  <c r="R98" i="17" s="1"/>
  <c r="S98" i="17" s="1"/>
  <c r="N190" i="17"/>
  <c r="N485" i="17"/>
  <c r="R485" i="17" s="1"/>
  <c r="S485" i="17" s="1"/>
  <c r="N171" i="17"/>
  <c r="R171" i="17" s="1"/>
  <c r="S171" i="17" s="1"/>
  <c r="N81" i="17"/>
  <c r="R81" i="17" s="1"/>
  <c r="S81" i="17" s="1"/>
  <c r="M68" i="17"/>
  <c r="Q68" i="17" s="1"/>
  <c r="U68" i="17" s="1"/>
  <c r="M463" i="17"/>
  <c r="N41" i="17"/>
  <c r="M570" i="17"/>
  <c r="Q570" i="17" s="1"/>
  <c r="U570" i="17" s="1"/>
  <c r="N89" i="17"/>
  <c r="R89" i="17" s="1"/>
  <c r="S89" i="17" s="1"/>
  <c r="M67" i="17"/>
  <c r="M596" i="17"/>
  <c r="N548" i="17"/>
  <c r="R548" i="17" s="1"/>
  <c r="S548" i="17" s="1"/>
  <c r="N533" i="17"/>
  <c r="N542" i="17"/>
  <c r="R542" i="17" s="1"/>
  <c r="S542" i="17" s="1"/>
  <c r="N496" i="17"/>
  <c r="Y496" i="17" s="1"/>
  <c r="N456" i="17"/>
  <c r="N519" i="17"/>
  <c r="R519" i="17" s="1"/>
  <c r="S519" i="17" s="1"/>
  <c r="M470" i="17"/>
  <c r="M430" i="17"/>
  <c r="X430" i="17" s="1"/>
  <c r="M390" i="17"/>
  <c r="M342" i="17"/>
  <c r="N404" i="17"/>
  <c r="R404" i="17" s="1"/>
  <c r="S404" i="17" s="1"/>
  <c r="N364" i="17"/>
  <c r="R364" i="17" s="1"/>
  <c r="S364" i="17" s="1"/>
  <c r="N316" i="17"/>
  <c r="R316" i="17" s="1"/>
  <c r="S316" i="17" s="1"/>
  <c r="M276" i="17"/>
  <c r="M236" i="17"/>
  <c r="M188" i="17"/>
  <c r="Q188" i="17" s="1"/>
  <c r="U188" i="17" s="1"/>
  <c r="M605" i="17"/>
  <c r="Q605" i="17" s="1"/>
  <c r="U605" i="17" s="1"/>
  <c r="M564" i="17"/>
  <c r="M466" i="17"/>
  <c r="Q466" i="17" s="1"/>
  <c r="U466" i="17" s="1"/>
  <c r="N408" i="17"/>
  <c r="R408" i="17" s="1"/>
  <c r="S408" i="17" s="1"/>
  <c r="M248" i="17"/>
  <c r="M309" i="17"/>
  <c r="Q309" i="17" s="1"/>
  <c r="U309" i="17" s="1"/>
  <c r="M229" i="17"/>
  <c r="Q229" i="17" s="1"/>
  <c r="U229" i="17" s="1"/>
  <c r="M581" i="17"/>
  <c r="N578" i="17"/>
  <c r="R578" i="17" s="1"/>
  <c r="S578" i="17" s="1"/>
  <c r="N523" i="17"/>
  <c r="R523" i="17" s="1"/>
  <c r="S523" i="17" s="1"/>
  <c r="N494" i="17"/>
  <c r="M500" i="17"/>
  <c r="M420" i="17"/>
  <c r="M340" i="17"/>
  <c r="Q340" i="17" s="1"/>
  <c r="U340" i="17" s="1"/>
  <c r="N346" i="17"/>
  <c r="M266" i="17"/>
  <c r="Q266" i="17" s="1"/>
  <c r="U266" i="17" s="1"/>
  <c r="M186" i="17"/>
  <c r="X186" i="17" s="1"/>
  <c r="M295" i="17"/>
  <c r="Q295" i="17" s="1"/>
  <c r="U295" i="17" s="1"/>
  <c r="N599" i="17"/>
  <c r="R599" i="17" s="1"/>
  <c r="S599" i="17" s="1"/>
  <c r="M582" i="17"/>
  <c r="M469" i="17"/>
  <c r="Q469" i="17" s="1"/>
  <c r="N491" i="17"/>
  <c r="R491" i="17" s="1"/>
  <c r="S491" i="17" s="1"/>
  <c r="N411" i="17"/>
  <c r="N315" i="17"/>
  <c r="M337" i="17"/>
  <c r="N293" i="17"/>
  <c r="Y293" i="17" s="1"/>
  <c r="N245" i="17"/>
  <c r="N205" i="17"/>
  <c r="N165" i="17"/>
  <c r="N117" i="17"/>
  <c r="R117" i="17" s="1"/>
  <c r="S117" i="17" s="1"/>
  <c r="N282" i="17"/>
  <c r="N242" i="17"/>
  <c r="Y242" i="17" s="1"/>
  <c r="N194" i="17"/>
  <c r="N154" i="17"/>
  <c r="N114" i="17"/>
  <c r="M113" i="17"/>
  <c r="Q113" i="17" s="1"/>
  <c r="U113" i="17" s="1"/>
  <c r="M211" i="17"/>
  <c r="X211" i="17" s="1"/>
  <c r="M563" i="17"/>
  <c r="X563" i="17" s="1"/>
  <c r="M528" i="17"/>
  <c r="M537" i="17"/>
  <c r="Q537" i="17" s="1"/>
  <c r="U537" i="17" s="1"/>
  <c r="M499" i="17"/>
  <c r="Q499" i="17" s="1"/>
  <c r="U499" i="17" s="1"/>
  <c r="M451" i="17"/>
  <c r="N513" i="17"/>
  <c r="R513" i="17" s="1"/>
  <c r="S513" i="17" s="1"/>
  <c r="N473" i="17"/>
  <c r="R473" i="17" s="1"/>
  <c r="S473" i="17" s="1"/>
  <c r="N425" i="17"/>
  <c r="Y425" i="17" s="1"/>
  <c r="N385" i="17"/>
  <c r="N345" i="17"/>
  <c r="M399" i="17"/>
  <c r="X399" i="17" s="1"/>
  <c r="M359" i="17"/>
  <c r="M319" i="17"/>
  <c r="Q319" i="17" s="1"/>
  <c r="U319" i="17" s="1"/>
  <c r="N271" i="17"/>
  <c r="N231" i="17"/>
  <c r="N191" i="17"/>
  <c r="R191" i="17" s="1"/>
  <c r="S191" i="17" s="1"/>
  <c r="N143" i="17"/>
  <c r="N308" i="17"/>
  <c r="R308" i="17" s="1"/>
  <c r="S308" i="17" s="1"/>
  <c r="N268" i="17"/>
  <c r="R268" i="17" s="1"/>
  <c r="S268" i="17" s="1"/>
  <c r="N220" i="17"/>
  <c r="R220" i="17" s="1"/>
  <c r="S220" i="17" s="1"/>
  <c r="N180" i="17"/>
  <c r="Y180" i="17" s="1"/>
  <c r="N140" i="17"/>
  <c r="M165" i="17"/>
  <c r="X165" i="17" s="1"/>
  <c r="M147" i="17"/>
  <c r="Q147" i="17" s="1"/>
  <c r="U147" i="17" s="1"/>
  <c r="N23" i="17"/>
  <c r="N47" i="17"/>
  <c r="N67" i="17"/>
  <c r="R67" i="17" s="1"/>
  <c r="S67" i="17" s="1"/>
  <c r="N87" i="17"/>
  <c r="R87" i="17" s="1"/>
  <c r="S87" i="17" s="1"/>
  <c r="N16" i="17"/>
  <c r="Y16" i="17" s="1"/>
  <c r="N72" i="17"/>
  <c r="R72" i="17" s="1"/>
  <c r="S72" i="17" s="1"/>
  <c r="M31" i="17"/>
  <c r="X31" i="17" s="1"/>
  <c r="M95" i="17"/>
  <c r="Q95" i="17" s="1"/>
  <c r="U95" i="17" s="1"/>
  <c r="M109" i="17"/>
  <c r="X109" i="17" s="1"/>
  <c r="M14" i="17"/>
  <c r="M46" i="17"/>
  <c r="M74" i="17"/>
  <c r="Q74" i="17" s="1"/>
  <c r="U74" i="17" s="1"/>
  <c r="M98" i="17"/>
  <c r="Q98" i="17" s="1"/>
  <c r="U98" i="17" s="1"/>
  <c r="N54" i="17"/>
  <c r="M13" i="17"/>
  <c r="Q13" i="17" s="1"/>
  <c r="U13" i="17" s="1"/>
  <c r="M73" i="17"/>
  <c r="Q73" i="17" s="1"/>
  <c r="U73" i="17" s="1"/>
  <c r="M365" i="17"/>
  <c r="X365" i="17" s="1"/>
  <c r="M413" i="17"/>
  <c r="N367" i="17"/>
  <c r="R367" i="17" s="1"/>
  <c r="S367" i="17" s="1"/>
  <c r="N431" i="17"/>
  <c r="R431" i="17" s="1"/>
  <c r="S431" i="17" s="1"/>
  <c r="N487" i="17"/>
  <c r="Y487" i="17" s="1"/>
  <c r="M433" i="17"/>
  <c r="M497" i="17"/>
  <c r="M534" i="17"/>
  <c r="X534" i="17" s="1"/>
  <c r="M223" i="17"/>
  <c r="M118" i="17"/>
  <c r="M206" i="17"/>
  <c r="Q206" i="17" s="1"/>
  <c r="U206" i="17" s="1"/>
  <c r="M294" i="17"/>
  <c r="N374" i="17"/>
  <c r="R374" i="17" s="1"/>
  <c r="S374" i="17" s="1"/>
  <c r="M360" i="17"/>
  <c r="M448" i="17"/>
  <c r="N426" i="17"/>
  <c r="Y426" i="17" s="1"/>
  <c r="N514" i="17"/>
  <c r="N559" i="17"/>
  <c r="M606" i="17"/>
  <c r="N601" i="17"/>
  <c r="R601" i="17" s="1"/>
  <c r="S601" i="17" s="1"/>
  <c r="M257" i="17"/>
  <c r="X257" i="17" s="1"/>
  <c r="M132" i="17"/>
  <c r="M288" i="17"/>
  <c r="Q288" i="17" s="1"/>
  <c r="U288" i="17" s="1"/>
  <c r="M362" i="17"/>
  <c r="Q362" i="17" s="1"/>
  <c r="U362" i="17" s="1"/>
  <c r="N420" i="17"/>
  <c r="N547" i="17"/>
  <c r="R547" i="17" s="1"/>
  <c r="S547" i="17" s="1"/>
  <c r="N538" i="17"/>
  <c r="Y538" i="17" s="1"/>
  <c r="M322" i="17"/>
  <c r="M112" i="17"/>
  <c r="Q112" i="17" s="1"/>
  <c r="U112" i="17" s="1"/>
  <c r="M573" i="17"/>
  <c r="N531" i="17"/>
  <c r="M508" i="17"/>
  <c r="M332" i="17"/>
  <c r="M274" i="17"/>
  <c r="M287" i="17"/>
  <c r="X287" i="17" s="1"/>
  <c r="M477" i="17"/>
  <c r="Q477" i="17" s="1"/>
  <c r="U477" i="17" s="1"/>
  <c r="N371" i="17"/>
  <c r="N281" i="17"/>
  <c r="N169" i="17"/>
  <c r="R169" i="17" s="1"/>
  <c r="S169" i="17" s="1"/>
  <c r="N182" i="17"/>
  <c r="R182" i="17" s="1"/>
  <c r="S182" i="17" s="1"/>
  <c r="N553" i="17"/>
  <c r="N461" i="17"/>
  <c r="M355" i="17"/>
  <c r="N115" i="17"/>
  <c r="Y115" i="17" s="1"/>
  <c r="M141" i="17"/>
  <c r="X141" i="17" s="1"/>
  <c r="N93" i="17"/>
  <c r="M69" i="17"/>
  <c r="Q69" i="17" s="1"/>
  <c r="U69" i="17" s="1"/>
  <c r="M88" i="17"/>
  <c r="X88" i="17" s="1"/>
  <c r="N129" i="17"/>
  <c r="Y129" i="17" s="1"/>
  <c r="M195" i="17"/>
  <c r="N325" i="17"/>
  <c r="Y325" i="17" s="1"/>
  <c r="N216" i="17"/>
  <c r="M19" i="17"/>
  <c r="X19" i="17" s="1"/>
  <c r="M25" i="17"/>
  <c r="X25" i="17" s="1"/>
  <c r="M347" i="17"/>
  <c r="X347" i="17" s="1"/>
  <c r="M175" i="17"/>
  <c r="Q175" i="17" s="1"/>
  <c r="U175" i="17" s="1"/>
  <c r="M379" i="17"/>
  <c r="Q379" i="17" s="1"/>
  <c r="U379" i="17" s="1"/>
  <c r="N251" i="17"/>
  <c r="M609" i="17"/>
  <c r="X609" i="17" s="1"/>
  <c r="N580" i="17"/>
  <c r="Y580" i="17" s="1"/>
  <c r="N587" i="17"/>
  <c r="Y587" i="17" s="1"/>
  <c r="N525" i="17"/>
  <c r="N526" i="17"/>
  <c r="N488" i="17"/>
  <c r="R488" i="17" s="1"/>
  <c r="S488" i="17" s="1"/>
  <c r="N448" i="17"/>
  <c r="M502" i="17"/>
  <c r="M462" i="17"/>
  <c r="M422" i="17"/>
  <c r="Q422" i="17" s="1"/>
  <c r="U422" i="17" s="1"/>
  <c r="M374" i="17"/>
  <c r="Q374" i="17" s="1"/>
  <c r="U374" i="17" s="1"/>
  <c r="M334" i="17"/>
  <c r="Q334" i="17" s="1"/>
  <c r="U334" i="17" s="1"/>
  <c r="N396" i="17"/>
  <c r="N348" i="17"/>
  <c r="M308" i="17"/>
  <c r="M268" i="17"/>
  <c r="M220" i="17"/>
  <c r="Q220" i="17" s="1"/>
  <c r="U220" i="17" s="1"/>
  <c r="M180" i="17"/>
  <c r="M608" i="17"/>
  <c r="N492" i="17"/>
  <c r="R492" i="17" s="1"/>
  <c r="S492" i="17" s="1"/>
  <c r="M434" i="17"/>
  <c r="Q434" i="17" s="1"/>
  <c r="U434" i="17" s="1"/>
  <c r="N376" i="17"/>
  <c r="R376" i="17" s="1"/>
  <c r="S376" i="17" s="1"/>
  <c r="M184" i="17"/>
  <c r="Q184" i="17" s="1"/>
  <c r="U184" i="17" s="1"/>
  <c r="M293" i="17"/>
  <c r="M213" i="17"/>
  <c r="M549" i="17"/>
  <c r="N562" i="17"/>
  <c r="Y562" i="17" s="1"/>
  <c r="M568" i="17"/>
  <c r="N462" i="17"/>
  <c r="M484" i="17"/>
  <c r="X484" i="17" s="1"/>
  <c r="M404" i="17"/>
  <c r="N410" i="17"/>
  <c r="N330" i="17"/>
  <c r="M250" i="17"/>
  <c r="Q250" i="17" s="1"/>
  <c r="U250" i="17" s="1"/>
  <c r="M154" i="17"/>
  <c r="Q154" i="17" s="1"/>
  <c r="U154" i="17" s="1"/>
  <c r="M279" i="17"/>
  <c r="Q279" i="17" s="1"/>
  <c r="U279" i="17" s="1"/>
  <c r="M567" i="17"/>
  <c r="M531" i="17"/>
  <c r="Q531" i="17" s="1"/>
  <c r="U531" i="17" s="1"/>
  <c r="M453" i="17"/>
  <c r="N475" i="17"/>
  <c r="N379" i="17"/>
  <c r="Y379" i="17" s="1"/>
  <c r="M401" i="17"/>
  <c r="Q401" i="17" s="1"/>
  <c r="U401" i="17" s="1"/>
  <c r="M325" i="17"/>
  <c r="Q325" i="17" s="1"/>
  <c r="U325" i="17" s="1"/>
  <c r="N277" i="17"/>
  <c r="Y277" i="17" s="1"/>
  <c r="N237" i="17"/>
  <c r="N197" i="17"/>
  <c r="N149" i="17"/>
  <c r="Y149" i="17" s="1"/>
  <c r="N314" i="17"/>
  <c r="N274" i="17"/>
  <c r="N226" i="17"/>
  <c r="N186" i="17"/>
  <c r="N146" i="17"/>
  <c r="M177" i="17"/>
  <c r="Q177" i="17" s="1"/>
  <c r="U177" i="17" s="1"/>
  <c r="M187" i="17"/>
  <c r="N608" i="17"/>
  <c r="Y608" i="17" s="1"/>
  <c r="N577" i="17"/>
  <c r="R577" i="17" s="1"/>
  <c r="S577" i="17" s="1"/>
  <c r="M594" i="17"/>
  <c r="Q594" i="17" s="1"/>
  <c r="U594" i="17" s="1"/>
  <c r="M529" i="17"/>
  <c r="M483" i="17"/>
  <c r="Q483" i="17" s="1"/>
  <c r="U483" i="17" s="1"/>
  <c r="M443" i="17"/>
  <c r="N505" i="17"/>
  <c r="N457" i="17"/>
  <c r="R457" i="17" s="1"/>
  <c r="S457" i="17" s="1"/>
  <c r="N417" i="17"/>
  <c r="R417" i="17" s="1"/>
  <c r="S417" i="17" s="1"/>
  <c r="N377" i="17"/>
  <c r="N329" i="17"/>
  <c r="R329" i="17" s="1"/>
  <c r="S329" i="17" s="1"/>
  <c r="M391" i="17"/>
  <c r="Q391" i="17" s="1"/>
  <c r="M351" i="17"/>
  <c r="Q351" i="17" s="1"/>
  <c r="U351" i="17" s="1"/>
  <c r="N303" i="17"/>
  <c r="N263" i="17"/>
  <c r="R263" i="17" s="1"/>
  <c r="S263" i="17" s="1"/>
  <c r="N223" i="17"/>
  <c r="N175" i="17"/>
  <c r="N135" i="17"/>
  <c r="N300" i="17"/>
  <c r="R300" i="17" s="1"/>
  <c r="S300" i="17" s="1"/>
  <c r="N252" i="17"/>
  <c r="R252" i="17" s="1"/>
  <c r="S252" i="17" s="1"/>
  <c r="N212" i="17"/>
  <c r="Y212" i="17" s="1"/>
  <c r="N172" i="17"/>
  <c r="R172" i="17" s="1"/>
  <c r="S172" i="17" s="1"/>
  <c r="N124" i="17"/>
  <c r="Y124" i="17" s="1"/>
  <c r="M149" i="17"/>
  <c r="M131" i="17"/>
  <c r="N31" i="17"/>
  <c r="N51" i="17"/>
  <c r="N71" i="17"/>
  <c r="N95" i="17"/>
  <c r="N32" i="17"/>
  <c r="N80" i="17"/>
  <c r="M47" i="17"/>
  <c r="Q47" i="17" s="1"/>
  <c r="U47" i="17" s="1"/>
  <c r="M103" i="17"/>
  <c r="M191" i="17"/>
  <c r="Q191" i="17" s="1"/>
  <c r="U191" i="17" s="1"/>
  <c r="M26" i="17"/>
  <c r="Q26" i="17" s="1"/>
  <c r="U26" i="17" s="1"/>
  <c r="M50" i="17"/>
  <c r="X50" i="17" s="1"/>
  <c r="M78" i="17"/>
  <c r="Q78" i="17" s="1"/>
  <c r="U78" i="17" s="1"/>
  <c r="N14" i="17"/>
  <c r="N70" i="17"/>
  <c r="M21" i="17"/>
  <c r="Q21" i="17" s="1"/>
  <c r="U21" i="17" s="1"/>
  <c r="M105" i="17"/>
  <c r="M373" i="17"/>
  <c r="Q373" i="17" s="1"/>
  <c r="U373" i="17" s="1"/>
  <c r="N327" i="17"/>
  <c r="Y327" i="17" s="1"/>
  <c r="N391" i="17"/>
  <c r="N439" i="17"/>
  <c r="R439" i="17" s="1"/>
  <c r="S439" i="17" s="1"/>
  <c r="N495" i="17"/>
  <c r="R495" i="17" s="1"/>
  <c r="S495" i="17" s="1"/>
  <c r="M457" i="17"/>
  <c r="Q457" i="17" s="1"/>
  <c r="U457" i="17" s="1"/>
  <c r="M513" i="17"/>
  <c r="Q513" i="17" s="1"/>
  <c r="U513" i="17" s="1"/>
  <c r="M542" i="17"/>
  <c r="X542" i="17" s="1"/>
  <c r="M239" i="17"/>
  <c r="Q239" i="17" s="1"/>
  <c r="U239" i="17" s="1"/>
  <c r="M134" i="17"/>
  <c r="Q134" i="17" s="1"/>
  <c r="U134" i="17" s="1"/>
  <c r="M214" i="17"/>
  <c r="Q214" i="17" s="1"/>
  <c r="U214" i="17" s="1"/>
  <c r="M302" i="17"/>
  <c r="Q302" i="17" s="1"/>
  <c r="U302" i="17" s="1"/>
  <c r="N390" i="17"/>
  <c r="Y390" i="17" s="1"/>
  <c r="M368" i="17"/>
  <c r="Q368" i="17" s="1"/>
  <c r="U368" i="17" s="1"/>
  <c r="M456" i="17"/>
  <c r="X456" i="17" s="1"/>
  <c r="N442" i="17"/>
  <c r="N520" i="17"/>
  <c r="N575" i="17"/>
  <c r="R575" i="17" s="1"/>
  <c r="S575" i="17" s="1"/>
  <c r="M603" i="17"/>
  <c r="Q603" i="17" s="1"/>
  <c r="U603" i="17" s="1"/>
  <c r="N609" i="17"/>
  <c r="R609" i="17" s="1"/>
  <c r="S609" i="17" s="1"/>
  <c r="M265" i="17"/>
  <c r="M148" i="17"/>
  <c r="M304" i="17"/>
  <c r="Q304" i="17" s="1"/>
  <c r="U304" i="17" s="1"/>
  <c r="M378" i="17"/>
  <c r="N452" i="17"/>
  <c r="N579" i="17"/>
  <c r="N508" i="17"/>
  <c r="Y508" i="17" s="1"/>
  <c r="N360" i="17"/>
  <c r="M301" i="17"/>
  <c r="M557" i="17"/>
  <c r="Q557" i="17" s="1"/>
  <c r="U557" i="17" s="1"/>
  <c r="M552" i="17"/>
  <c r="Q552" i="17" s="1"/>
  <c r="U552" i="17" s="1"/>
  <c r="M492" i="17"/>
  <c r="Q492" i="17" s="1"/>
  <c r="U492" i="17" s="1"/>
  <c r="M316" i="17"/>
  <c r="M242" i="17"/>
  <c r="M271" i="17"/>
  <c r="Q271" i="17" s="1"/>
  <c r="U271" i="17" s="1"/>
  <c r="M461" i="17"/>
  <c r="X461" i="17" s="1"/>
  <c r="N323" i="17"/>
  <c r="N273" i="17"/>
  <c r="Y273" i="17" s="1"/>
  <c r="N153" i="17"/>
  <c r="R153" i="17" s="1"/>
  <c r="S153" i="17" s="1"/>
  <c r="N150" i="17"/>
  <c r="R150" i="17" s="1"/>
  <c r="S150" i="17" s="1"/>
  <c r="M586" i="17"/>
  <c r="N445" i="17"/>
  <c r="N307" i="17"/>
  <c r="R307" i="17" s="1"/>
  <c r="S307" i="17" s="1"/>
  <c r="N304" i="17"/>
  <c r="M171" i="17"/>
  <c r="Q171" i="17" s="1"/>
  <c r="U171" i="17" s="1"/>
  <c r="N28" i="17"/>
  <c r="R28" i="17" s="1"/>
  <c r="S28" i="17" s="1"/>
  <c r="M101" i="17"/>
  <c r="Q101" i="17" s="1"/>
  <c r="U101" i="17" s="1"/>
  <c r="M104" i="17"/>
  <c r="N302" i="17"/>
  <c r="R302" i="17" s="1"/>
  <c r="S302" i="17" s="1"/>
  <c r="M587" i="17"/>
  <c r="X587" i="17" s="1"/>
  <c r="M395" i="17"/>
  <c r="N120" i="17"/>
  <c r="R120" i="17" s="1"/>
  <c r="S120" i="17" s="1"/>
  <c r="M51" i="17"/>
  <c r="M57" i="17"/>
  <c r="N155" i="17"/>
  <c r="R155" i="17" s="1"/>
  <c r="S155" i="17" s="1"/>
  <c r="M28" i="17"/>
  <c r="M315" i="17"/>
  <c r="N57" i="17"/>
  <c r="M628" i="17"/>
  <c r="Q628" i="17" s="1"/>
  <c r="F627" i="17"/>
  <c r="E627" i="17"/>
  <c r="N627" i="17"/>
  <c r="M627" i="17"/>
  <c r="J627" i="17"/>
  <c r="D627" i="17"/>
  <c r="L627" i="17"/>
  <c r="K627" i="17"/>
  <c r="I627" i="17"/>
  <c r="P627" i="17"/>
  <c r="O627" i="17"/>
  <c r="C627" i="17"/>
  <c r="G627" i="17"/>
  <c r="H624" i="17"/>
  <c r="G624" i="17"/>
  <c r="M625" i="17"/>
  <c r="H625" i="17"/>
  <c r="G625" i="17"/>
  <c r="Q81" i="17"/>
  <c r="U81" i="17" s="1"/>
  <c r="X81" i="17"/>
  <c r="M624" i="17"/>
  <c r="N624" i="17"/>
  <c r="J625" i="17"/>
  <c r="I625" i="17"/>
  <c r="C625" i="17"/>
  <c r="O625" i="17"/>
  <c r="D625" i="17"/>
  <c r="F625" i="17"/>
  <c r="P625" i="17"/>
  <c r="K625" i="17"/>
  <c r="E625" i="17"/>
  <c r="L625" i="17"/>
  <c r="I624" i="17"/>
  <c r="K624" i="17"/>
  <c r="C624" i="17"/>
  <c r="F624" i="17"/>
  <c r="P624" i="17"/>
  <c r="L624" i="17"/>
  <c r="J624" i="17"/>
  <c r="D624" i="17"/>
  <c r="E624" i="17"/>
  <c r="O624" i="17"/>
  <c r="N625" i="17"/>
  <c r="Q624" i="25" l="1"/>
  <c r="D634" i="25" s="1"/>
  <c r="Y625" i="25"/>
  <c r="Q625" i="25"/>
  <c r="D635" i="25" s="1"/>
  <c r="AA627" i="25"/>
  <c r="Q627" i="25"/>
  <c r="Y623" i="25"/>
  <c r="R623" i="25"/>
  <c r="S623" i="25" s="1"/>
  <c r="Q111" i="25"/>
  <c r="X111" i="25"/>
  <c r="Q33" i="25"/>
  <c r="X33" i="25"/>
  <c r="X110" i="25"/>
  <c r="Q110" i="25"/>
  <c r="Y85" i="25"/>
  <c r="R85" i="25"/>
  <c r="S85" i="25" s="1"/>
  <c r="R45" i="25"/>
  <c r="S45" i="25" s="1"/>
  <c r="Y45" i="25"/>
  <c r="X62" i="25"/>
  <c r="Q62" i="25"/>
  <c r="Q329" i="25"/>
  <c r="X329" i="25"/>
  <c r="R24" i="25"/>
  <c r="S24" i="25" s="1"/>
  <c r="Y24" i="25"/>
  <c r="X53" i="25"/>
  <c r="Q53" i="25"/>
  <c r="R99" i="25"/>
  <c r="S99" i="25" s="1"/>
  <c r="Y99" i="25"/>
  <c r="R135" i="25"/>
  <c r="S135" i="25" s="1"/>
  <c r="Y135" i="25"/>
  <c r="Y199" i="25"/>
  <c r="R199" i="25"/>
  <c r="S199" i="25" s="1"/>
  <c r="Q40" i="25"/>
  <c r="X40" i="25"/>
  <c r="Q72" i="25"/>
  <c r="X72" i="25"/>
  <c r="Q113" i="25"/>
  <c r="X113" i="25"/>
  <c r="Y161" i="25"/>
  <c r="R161" i="25"/>
  <c r="S161" i="25" s="1"/>
  <c r="R193" i="25"/>
  <c r="S193" i="25" s="1"/>
  <c r="Y193" i="25"/>
  <c r="R295" i="25"/>
  <c r="S295" i="25" s="1"/>
  <c r="Y295" i="25"/>
  <c r="Q91" i="25"/>
  <c r="X91" i="25"/>
  <c r="X163" i="25"/>
  <c r="Q163" i="25"/>
  <c r="Y32" i="25"/>
  <c r="R32" i="25"/>
  <c r="S32" i="25" s="1"/>
  <c r="Y56" i="25"/>
  <c r="R56" i="25"/>
  <c r="S56" i="25" s="1"/>
  <c r="R80" i="25"/>
  <c r="S80" i="25" s="1"/>
  <c r="Y80" i="25"/>
  <c r="Y112" i="25"/>
  <c r="R112" i="25"/>
  <c r="S112" i="25" s="1"/>
  <c r="Y136" i="25"/>
  <c r="R136" i="25"/>
  <c r="S136" i="25" s="1"/>
  <c r="Y168" i="25"/>
  <c r="R168" i="25"/>
  <c r="S168" i="25" s="1"/>
  <c r="R200" i="25"/>
  <c r="S200" i="25" s="1"/>
  <c r="Y200" i="25"/>
  <c r="Y224" i="25"/>
  <c r="R224" i="25"/>
  <c r="S224" i="25" s="1"/>
  <c r="Y264" i="25"/>
  <c r="R264" i="25"/>
  <c r="S264" i="25" s="1"/>
  <c r="X241" i="25"/>
  <c r="Q241" i="25"/>
  <c r="X126" i="25"/>
  <c r="Q126" i="25"/>
  <c r="Q150" i="25"/>
  <c r="X150" i="25"/>
  <c r="X182" i="25"/>
  <c r="Q182" i="25"/>
  <c r="X214" i="25"/>
  <c r="Q214" i="25"/>
  <c r="R233" i="25"/>
  <c r="S233" i="25" s="1"/>
  <c r="Y233" i="25"/>
  <c r="Q281" i="25"/>
  <c r="X281" i="25"/>
  <c r="X238" i="25"/>
  <c r="Q238" i="25"/>
  <c r="Q262" i="25"/>
  <c r="X262" i="25"/>
  <c r="R301" i="25"/>
  <c r="S301" i="25" s="1"/>
  <c r="Y301" i="25"/>
  <c r="R333" i="25"/>
  <c r="S333" i="25" s="1"/>
  <c r="Y333" i="25"/>
  <c r="Q364" i="25"/>
  <c r="X364" i="25"/>
  <c r="Q275" i="25"/>
  <c r="X275" i="25"/>
  <c r="Q306" i="25"/>
  <c r="X306" i="25"/>
  <c r="X338" i="25"/>
  <c r="Q338" i="25"/>
  <c r="X379" i="25"/>
  <c r="Q379" i="25"/>
  <c r="Q292" i="25"/>
  <c r="X292" i="25"/>
  <c r="Q333" i="25"/>
  <c r="X333" i="25"/>
  <c r="Q361" i="25"/>
  <c r="X361" i="25"/>
  <c r="X385" i="25"/>
  <c r="Q385" i="25"/>
  <c r="Q380" i="25"/>
  <c r="X380" i="25"/>
  <c r="R404" i="25"/>
  <c r="S404" i="25" s="1"/>
  <c r="Y404" i="25"/>
  <c r="Y304" i="25"/>
  <c r="R304" i="25"/>
  <c r="S304" i="25" s="1"/>
  <c r="Y320" i="25"/>
  <c r="R320" i="25"/>
  <c r="S320" i="25" s="1"/>
  <c r="R352" i="25"/>
  <c r="S352" i="25" s="1"/>
  <c r="Y352" i="25"/>
  <c r="R389" i="25"/>
  <c r="S389" i="25" s="1"/>
  <c r="Y389" i="25"/>
  <c r="Y386" i="25"/>
  <c r="R386" i="25"/>
  <c r="S386" i="25" s="1"/>
  <c r="Q412" i="25"/>
  <c r="X412" i="25"/>
  <c r="Q415" i="25"/>
  <c r="X415" i="25"/>
  <c r="R448" i="25"/>
  <c r="S448" i="25" s="1"/>
  <c r="Y448" i="25"/>
  <c r="X418" i="25"/>
  <c r="Q418" i="25"/>
  <c r="Y479" i="25"/>
  <c r="R479" i="25"/>
  <c r="S479" i="25" s="1"/>
  <c r="Y464" i="25"/>
  <c r="R464" i="25"/>
  <c r="S464" i="25" s="1"/>
  <c r="Q439" i="25"/>
  <c r="X439" i="25"/>
  <c r="Q463" i="25"/>
  <c r="X463" i="25"/>
  <c r="Y407" i="25"/>
  <c r="R407" i="25"/>
  <c r="S407" i="25" s="1"/>
  <c r="Y431" i="25"/>
  <c r="R431" i="25"/>
  <c r="S431" i="25" s="1"/>
  <c r="R455" i="25"/>
  <c r="S455" i="25" s="1"/>
  <c r="Y455" i="25"/>
  <c r="X485" i="25"/>
  <c r="Q485" i="25"/>
  <c r="R515" i="25"/>
  <c r="S515" i="25" s="1"/>
  <c r="Y515" i="25"/>
  <c r="R493" i="25"/>
  <c r="S493" i="25" s="1"/>
  <c r="Y493" i="25"/>
  <c r="Q476" i="25"/>
  <c r="X476" i="25"/>
  <c r="Q500" i="25"/>
  <c r="X500" i="25"/>
  <c r="Q545" i="25"/>
  <c r="X545" i="25"/>
  <c r="Q535" i="25"/>
  <c r="X535" i="25"/>
  <c r="Y546" i="25"/>
  <c r="R546" i="25"/>
  <c r="S546" i="25" s="1"/>
  <c r="Y610" i="25"/>
  <c r="R610" i="25"/>
  <c r="S610" i="25" s="1"/>
  <c r="D633" i="25"/>
  <c r="X623" i="25"/>
  <c r="Q20" i="25"/>
  <c r="X20" i="25"/>
  <c r="R109" i="25"/>
  <c r="S109" i="25" s="1"/>
  <c r="Y109" i="25"/>
  <c r="X217" i="25"/>
  <c r="Q217" i="25"/>
  <c r="X18" i="25"/>
  <c r="Q18" i="25"/>
  <c r="X30" i="25"/>
  <c r="Q30" i="25"/>
  <c r="X70" i="25"/>
  <c r="Q70" i="25"/>
  <c r="X103" i="25"/>
  <c r="Q103" i="25"/>
  <c r="Q173" i="25"/>
  <c r="X173" i="25"/>
  <c r="Q78" i="25"/>
  <c r="X78" i="25"/>
  <c r="X22" i="25"/>
  <c r="Q22" i="25"/>
  <c r="Y37" i="25"/>
  <c r="R37" i="25"/>
  <c r="S37" i="25" s="1"/>
  <c r="Q55" i="25"/>
  <c r="X55" i="25"/>
  <c r="Y117" i="25"/>
  <c r="R117" i="25"/>
  <c r="S117" i="25" s="1"/>
  <c r="Q149" i="25"/>
  <c r="X149" i="25"/>
  <c r="X213" i="25"/>
  <c r="Q213" i="25"/>
  <c r="X31" i="25"/>
  <c r="Q31" i="25"/>
  <c r="X79" i="25"/>
  <c r="Q79" i="25"/>
  <c r="X201" i="25"/>
  <c r="Q201" i="25"/>
  <c r="Y23" i="25"/>
  <c r="R23" i="25"/>
  <c r="S23" i="25" s="1"/>
  <c r="R61" i="25"/>
  <c r="S61" i="25" s="1"/>
  <c r="Y61" i="25"/>
  <c r="X94" i="25"/>
  <c r="Q94" i="25"/>
  <c r="Q161" i="25"/>
  <c r="X161" i="25"/>
  <c r="R248" i="25"/>
  <c r="S248" i="25" s="1"/>
  <c r="Y248" i="25"/>
  <c r="Y33" i="25"/>
  <c r="R33" i="25"/>
  <c r="S33" i="25" s="1"/>
  <c r="X43" i="25"/>
  <c r="Q43" i="25"/>
  <c r="R14" i="25"/>
  <c r="S14" i="25" s="1"/>
  <c r="Y14" i="25"/>
  <c r="Y22" i="25"/>
  <c r="R22" i="25"/>
  <c r="S22" i="25" s="1"/>
  <c r="X29" i="25"/>
  <c r="Q29" i="25"/>
  <c r="Y43" i="25"/>
  <c r="R43" i="25"/>
  <c r="S43" i="25" s="1"/>
  <c r="Q52" i="25"/>
  <c r="X52" i="25"/>
  <c r="X61" i="25"/>
  <c r="Q61" i="25"/>
  <c r="Y75" i="25"/>
  <c r="R75" i="25"/>
  <c r="S75" i="25" s="1"/>
  <c r="X84" i="25"/>
  <c r="Q84" i="25"/>
  <c r="Q93" i="25"/>
  <c r="X93" i="25"/>
  <c r="Y107" i="25"/>
  <c r="R107" i="25"/>
  <c r="S107" i="25" s="1"/>
  <c r="X116" i="25"/>
  <c r="Q116" i="25"/>
  <c r="R131" i="25"/>
  <c r="S131" i="25" s="1"/>
  <c r="Y131" i="25"/>
  <c r="R147" i="25"/>
  <c r="S147" i="25" s="1"/>
  <c r="Y147" i="25"/>
  <c r="R163" i="25"/>
  <c r="S163" i="25" s="1"/>
  <c r="Y163" i="25"/>
  <c r="R179" i="25"/>
  <c r="S179" i="25" s="1"/>
  <c r="Y179" i="25"/>
  <c r="R195" i="25"/>
  <c r="S195" i="25" s="1"/>
  <c r="Y195" i="25"/>
  <c r="R211" i="25"/>
  <c r="S211" i="25" s="1"/>
  <c r="Y211" i="25"/>
  <c r="R240" i="25"/>
  <c r="S240" i="25" s="1"/>
  <c r="Y240" i="25"/>
  <c r="X328" i="25"/>
  <c r="Q328" i="25"/>
  <c r="X48" i="25"/>
  <c r="Q48" i="25"/>
  <c r="X57" i="25"/>
  <c r="Q57" i="25"/>
  <c r="Y71" i="25"/>
  <c r="R71" i="25"/>
  <c r="S71" i="25" s="1"/>
  <c r="X80" i="25"/>
  <c r="Q80" i="25"/>
  <c r="X89" i="25"/>
  <c r="Q89" i="25"/>
  <c r="Y103" i="25"/>
  <c r="R103" i="25"/>
  <c r="S103" i="25" s="1"/>
  <c r="X112" i="25"/>
  <c r="Q112" i="25"/>
  <c r="R125" i="25"/>
  <c r="S125" i="25" s="1"/>
  <c r="Y125" i="25"/>
  <c r="R141" i="25"/>
  <c r="S141" i="25" s="1"/>
  <c r="Y141" i="25"/>
  <c r="R157" i="25"/>
  <c r="S157" i="25" s="1"/>
  <c r="Y157" i="25"/>
  <c r="R173" i="25"/>
  <c r="S173" i="25" s="1"/>
  <c r="Y173" i="25"/>
  <c r="R189" i="25"/>
  <c r="S189" i="25" s="1"/>
  <c r="Y189" i="25"/>
  <c r="R205" i="25"/>
  <c r="S205" i="25" s="1"/>
  <c r="Y205" i="25"/>
  <c r="X223" i="25"/>
  <c r="Q223" i="25"/>
  <c r="Y261" i="25"/>
  <c r="R261" i="25"/>
  <c r="S261" i="25" s="1"/>
  <c r="X58" i="25"/>
  <c r="Q58" i="25"/>
  <c r="X67" i="25"/>
  <c r="Q67" i="25"/>
  <c r="Y81" i="25"/>
  <c r="R81" i="25"/>
  <c r="S81" i="25" s="1"/>
  <c r="X90" i="25"/>
  <c r="Q90" i="25"/>
  <c r="Q99" i="25"/>
  <c r="X99" i="25"/>
  <c r="R113" i="25"/>
  <c r="S113" i="25" s="1"/>
  <c r="Y113" i="25"/>
  <c r="X127" i="25"/>
  <c r="Q127" i="25"/>
  <c r="X143" i="25"/>
  <c r="Q143" i="25"/>
  <c r="X159" i="25"/>
  <c r="Q159" i="25"/>
  <c r="X175" i="25"/>
  <c r="Q175" i="25"/>
  <c r="X191" i="25"/>
  <c r="Q191" i="25"/>
  <c r="X207" i="25"/>
  <c r="Q207" i="25"/>
  <c r="X221" i="25"/>
  <c r="Q221" i="25"/>
  <c r="X263" i="25"/>
  <c r="Q263" i="25"/>
  <c r="Y30" i="25"/>
  <c r="R30" i="25"/>
  <c r="S30" i="25" s="1"/>
  <c r="Y38" i="25"/>
  <c r="R38" i="25"/>
  <c r="S38" i="25" s="1"/>
  <c r="Y46" i="25"/>
  <c r="R46" i="25"/>
  <c r="S46" i="25" s="1"/>
  <c r="Y54" i="25"/>
  <c r="R54" i="25"/>
  <c r="S54" i="25" s="1"/>
  <c r="Y62" i="25"/>
  <c r="R62" i="25"/>
  <c r="S62" i="25" s="1"/>
  <c r="R70" i="25"/>
  <c r="S70" i="25" s="1"/>
  <c r="Y70" i="25"/>
  <c r="R78" i="25"/>
  <c r="S78" i="25" s="1"/>
  <c r="Y78" i="25"/>
  <c r="R86" i="25"/>
  <c r="S86" i="25" s="1"/>
  <c r="Y86" i="25"/>
  <c r="Y94" i="25"/>
  <c r="R94" i="25"/>
  <c r="S94" i="25" s="1"/>
  <c r="Y102" i="25"/>
  <c r="R102" i="25"/>
  <c r="S102" i="25" s="1"/>
  <c r="Y110" i="25"/>
  <c r="R110" i="25"/>
  <c r="S110" i="25" s="1"/>
  <c r="R118" i="25"/>
  <c r="S118" i="25" s="1"/>
  <c r="Y118" i="25"/>
  <c r="Y126" i="25"/>
  <c r="R126" i="25"/>
  <c r="S126" i="25" s="1"/>
  <c r="R134" i="25"/>
  <c r="S134" i="25" s="1"/>
  <c r="Y134" i="25"/>
  <c r="Y142" i="25"/>
  <c r="R142" i="25"/>
  <c r="S142" i="25" s="1"/>
  <c r="Y150" i="25"/>
  <c r="R150" i="25"/>
  <c r="S150" i="25" s="1"/>
  <c r="R158" i="25"/>
  <c r="S158" i="25" s="1"/>
  <c r="Y158" i="25"/>
  <c r="R166" i="25"/>
  <c r="S166" i="25" s="1"/>
  <c r="Y166" i="25"/>
  <c r="Y174" i="25"/>
  <c r="R174" i="25"/>
  <c r="S174" i="25" s="1"/>
  <c r="Y182" i="25"/>
  <c r="R182" i="25"/>
  <c r="S182" i="25" s="1"/>
  <c r="R190" i="25"/>
  <c r="S190" i="25" s="1"/>
  <c r="Y190" i="25"/>
  <c r="R198" i="25"/>
  <c r="S198" i="25" s="1"/>
  <c r="Y198" i="25"/>
  <c r="Y206" i="25"/>
  <c r="R206" i="25"/>
  <c r="S206" i="25" s="1"/>
  <c r="Y214" i="25"/>
  <c r="R214" i="25"/>
  <c r="S214" i="25" s="1"/>
  <c r="Y222" i="25"/>
  <c r="R222" i="25"/>
  <c r="S222" i="25" s="1"/>
  <c r="R230" i="25"/>
  <c r="S230" i="25" s="1"/>
  <c r="Y230" i="25"/>
  <c r="Y243" i="25"/>
  <c r="R243" i="25"/>
  <c r="S243" i="25" s="1"/>
  <c r="Q253" i="25"/>
  <c r="X253" i="25"/>
  <c r="R262" i="25"/>
  <c r="S262" i="25" s="1"/>
  <c r="Y262" i="25"/>
  <c r="Q288" i="25"/>
  <c r="X288" i="25"/>
  <c r="X321" i="25"/>
  <c r="Q321" i="25"/>
  <c r="R226" i="25"/>
  <c r="S226" i="25" s="1"/>
  <c r="Y226" i="25"/>
  <c r="Y239" i="25"/>
  <c r="R239" i="25"/>
  <c r="S239" i="25" s="1"/>
  <c r="X249" i="25"/>
  <c r="Q249" i="25"/>
  <c r="Y258" i="25"/>
  <c r="R258" i="25"/>
  <c r="S258" i="25" s="1"/>
  <c r="Y303" i="25"/>
  <c r="R303" i="25"/>
  <c r="S303" i="25" s="1"/>
  <c r="Q336" i="25"/>
  <c r="X336" i="25"/>
  <c r="X124" i="25"/>
  <c r="Q124" i="25"/>
  <c r="X132" i="25"/>
  <c r="Q132" i="25"/>
  <c r="Q140" i="25"/>
  <c r="X140" i="25"/>
  <c r="Q148" i="25"/>
  <c r="X148" i="25"/>
  <c r="X156" i="25"/>
  <c r="Q156" i="25"/>
  <c r="X164" i="25"/>
  <c r="Q164" i="25"/>
  <c r="X172" i="25"/>
  <c r="Q172" i="25"/>
  <c r="Q180" i="25"/>
  <c r="X180" i="25"/>
  <c r="X188" i="25"/>
  <c r="Q188" i="25"/>
  <c r="X196" i="25"/>
  <c r="Q196" i="25"/>
  <c r="Q204" i="25"/>
  <c r="X204" i="25"/>
  <c r="Q212" i="25"/>
  <c r="X212" i="25"/>
  <c r="X220" i="25"/>
  <c r="Q220" i="25"/>
  <c r="R228" i="25"/>
  <c r="S228" i="25" s="1"/>
  <c r="Y228" i="25"/>
  <c r="R241" i="25"/>
  <c r="S241" i="25" s="1"/>
  <c r="Y241" i="25"/>
  <c r="X251" i="25"/>
  <c r="Q251" i="25"/>
  <c r="Y260" i="25"/>
  <c r="R260" i="25"/>
  <c r="S260" i="25" s="1"/>
  <c r="Q280" i="25"/>
  <c r="X280" i="25"/>
  <c r="Q313" i="25"/>
  <c r="X313" i="25"/>
  <c r="Q228" i="25"/>
  <c r="X228" i="25"/>
  <c r="X236" i="25"/>
  <c r="Q236" i="25"/>
  <c r="Q244" i="25"/>
  <c r="X244" i="25"/>
  <c r="Q252" i="25"/>
  <c r="X252" i="25"/>
  <c r="Q260" i="25"/>
  <c r="X260" i="25"/>
  <c r="Q268" i="25"/>
  <c r="X268" i="25"/>
  <c r="X276" i="25"/>
  <c r="Q276" i="25"/>
  <c r="X286" i="25"/>
  <c r="Q286" i="25"/>
  <c r="Q295" i="25"/>
  <c r="X295" i="25"/>
  <c r="Y309" i="25"/>
  <c r="R309" i="25"/>
  <c r="S309" i="25" s="1"/>
  <c r="X318" i="25"/>
  <c r="Q318" i="25"/>
  <c r="X327" i="25"/>
  <c r="Q327" i="25"/>
  <c r="Y341" i="25"/>
  <c r="R341" i="25"/>
  <c r="S341" i="25" s="1"/>
  <c r="Y347" i="25"/>
  <c r="R347" i="25"/>
  <c r="S347" i="25" s="1"/>
  <c r="R355" i="25"/>
  <c r="S355" i="25" s="1"/>
  <c r="Y355" i="25"/>
  <c r="Y363" i="25"/>
  <c r="R363" i="25"/>
  <c r="S363" i="25" s="1"/>
  <c r="Q394" i="25"/>
  <c r="X394" i="25"/>
  <c r="X265" i="25"/>
  <c r="Q265" i="25"/>
  <c r="X273" i="25"/>
  <c r="Q273" i="25"/>
  <c r="X282" i="25"/>
  <c r="Q282" i="25"/>
  <c r="X291" i="25"/>
  <c r="Q291" i="25"/>
  <c r="Y305" i="25"/>
  <c r="R305" i="25"/>
  <c r="S305" i="25" s="1"/>
  <c r="Q314" i="25"/>
  <c r="X314" i="25"/>
  <c r="X323" i="25"/>
  <c r="Q323" i="25"/>
  <c r="R337" i="25"/>
  <c r="S337" i="25" s="1"/>
  <c r="Y337" i="25"/>
  <c r="X346" i="25"/>
  <c r="Q346" i="25"/>
  <c r="Q354" i="25"/>
  <c r="X354" i="25"/>
  <c r="X362" i="25"/>
  <c r="Q362" i="25"/>
  <c r="X378" i="25"/>
  <c r="Q378" i="25"/>
  <c r="R269" i="25"/>
  <c r="S269" i="25" s="1"/>
  <c r="Y269" i="25"/>
  <c r="Y277" i="25"/>
  <c r="R277" i="25"/>
  <c r="S277" i="25" s="1"/>
  <c r="R291" i="25"/>
  <c r="S291" i="25" s="1"/>
  <c r="Y291" i="25"/>
  <c r="X300" i="25"/>
  <c r="Q300" i="25"/>
  <c r="X309" i="25"/>
  <c r="Q309" i="25"/>
  <c r="R323" i="25"/>
  <c r="S323" i="25" s="1"/>
  <c r="Y323" i="25"/>
  <c r="X332" i="25"/>
  <c r="Q332" i="25"/>
  <c r="Q341" i="25"/>
  <c r="X341" i="25"/>
  <c r="X387" i="25"/>
  <c r="Q387" i="25"/>
  <c r="Q351" i="25"/>
  <c r="X351" i="25"/>
  <c r="X359" i="25"/>
  <c r="Q359" i="25"/>
  <c r="Q367" i="25"/>
  <c r="X367" i="25"/>
  <c r="Y375" i="25"/>
  <c r="R375" i="25"/>
  <c r="S375" i="25" s="1"/>
  <c r="Q384" i="25"/>
  <c r="X384" i="25"/>
  <c r="X393" i="25"/>
  <c r="Q393" i="25"/>
  <c r="X421" i="25"/>
  <c r="Q421" i="25"/>
  <c r="X368" i="25"/>
  <c r="Q368" i="25"/>
  <c r="Y379" i="25"/>
  <c r="R379" i="25"/>
  <c r="S379" i="25" s="1"/>
  <c r="Q388" i="25"/>
  <c r="X388" i="25"/>
  <c r="Q397" i="25"/>
  <c r="X397" i="25"/>
  <c r="R434" i="25"/>
  <c r="S434" i="25" s="1"/>
  <c r="Y434" i="25"/>
  <c r="Y286" i="25"/>
  <c r="R286" i="25"/>
  <c r="S286" i="25" s="1"/>
  <c r="R294" i="25"/>
  <c r="S294" i="25" s="1"/>
  <c r="Y294" i="25"/>
  <c r="Y302" i="25"/>
  <c r="R302" i="25"/>
  <c r="S302" i="25" s="1"/>
  <c r="Y310" i="25"/>
  <c r="R310" i="25"/>
  <c r="S310" i="25" s="1"/>
  <c r="Y318" i="25"/>
  <c r="R318" i="25"/>
  <c r="S318" i="25" s="1"/>
  <c r="Y326" i="25"/>
  <c r="R326" i="25"/>
  <c r="S326" i="25" s="1"/>
  <c r="R334" i="25"/>
  <c r="S334" i="25" s="1"/>
  <c r="Y334" i="25"/>
  <c r="R342" i="25"/>
  <c r="S342" i="25" s="1"/>
  <c r="Y342" i="25"/>
  <c r="R350" i="25"/>
  <c r="S350" i="25" s="1"/>
  <c r="Y350" i="25"/>
  <c r="R358" i="25"/>
  <c r="S358" i="25" s="1"/>
  <c r="Y358" i="25"/>
  <c r="R366" i="25"/>
  <c r="S366" i="25" s="1"/>
  <c r="Y366" i="25"/>
  <c r="Y374" i="25"/>
  <c r="R374" i="25"/>
  <c r="S374" i="25" s="1"/>
  <c r="X383" i="25"/>
  <c r="Q383" i="25"/>
  <c r="Y397" i="25"/>
  <c r="R397" i="25"/>
  <c r="S397" i="25" s="1"/>
  <c r="Y412" i="25"/>
  <c r="R412" i="25"/>
  <c r="S412" i="25" s="1"/>
  <c r="R376" i="25"/>
  <c r="S376" i="25" s="1"/>
  <c r="Y376" i="25"/>
  <c r="R384" i="25"/>
  <c r="S384" i="25" s="1"/>
  <c r="Y384" i="25"/>
  <c r="R392" i="25"/>
  <c r="S392" i="25" s="1"/>
  <c r="Y392" i="25"/>
  <c r="R402" i="25"/>
  <c r="S402" i="25" s="1"/>
  <c r="Y402" i="25"/>
  <c r="X411" i="25"/>
  <c r="Q411" i="25"/>
  <c r="X420" i="25"/>
  <c r="Q420" i="25"/>
  <c r="Y444" i="25"/>
  <c r="R444" i="25"/>
  <c r="S444" i="25" s="1"/>
  <c r="Y482" i="25"/>
  <c r="R482" i="25"/>
  <c r="S482" i="25" s="1"/>
  <c r="R414" i="25"/>
  <c r="S414" i="25" s="1"/>
  <c r="Y414" i="25"/>
  <c r="X423" i="25"/>
  <c r="Q423" i="25"/>
  <c r="Y440" i="25"/>
  <c r="R440" i="25"/>
  <c r="S440" i="25" s="1"/>
  <c r="Y466" i="25"/>
  <c r="R466" i="25"/>
  <c r="S466" i="25" s="1"/>
  <c r="Q516" i="25"/>
  <c r="X516" i="25"/>
  <c r="Y408" i="25"/>
  <c r="R408" i="25"/>
  <c r="S408" i="25" s="1"/>
  <c r="Q417" i="25"/>
  <c r="X417" i="25"/>
  <c r="X426" i="25"/>
  <c r="Q426" i="25"/>
  <c r="R446" i="25"/>
  <c r="S446" i="25" s="1"/>
  <c r="Y446" i="25"/>
  <c r="Y474" i="25"/>
  <c r="R474" i="25"/>
  <c r="S474" i="25" s="1"/>
  <c r="X430" i="25"/>
  <c r="Q430" i="25"/>
  <c r="X438" i="25"/>
  <c r="Q438" i="25"/>
  <c r="Q446" i="25"/>
  <c r="X446" i="25"/>
  <c r="Q454" i="25"/>
  <c r="X454" i="25"/>
  <c r="X462" i="25"/>
  <c r="Q462" i="25"/>
  <c r="Y472" i="25"/>
  <c r="R472" i="25"/>
  <c r="S472" i="25" s="1"/>
  <c r="X491" i="25"/>
  <c r="Q491" i="25"/>
  <c r="X429" i="25"/>
  <c r="Q429" i="25"/>
  <c r="Q437" i="25"/>
  <c r="X437" i="25"/>
  <c r="X445" i="25"/>
  <c r="Q445" i="25"/>
  <c r="Q453" i="25"/>
  <c r="X453" i="25"/>
  <c r="X461" i="25"/>
  <c r="Q461" i="25"/>
  <c r="Y468" i="25"/>
  <c r="R468" i="25"/>
  <c r="S468" i="25" s="1"/>
  <c r="Y481" i="25"/>
  <c r="R481" i="25"/>
  <c r="S481" i="25" s="1"/>
  <c r="X511" i="25"/>
  <c r="Q511" i="25"/>
  <c r="R405" i="25"/>
  <c r="S405" i="25" s="1"/>
  <c r="Y405" i="25"/>
  <c r="Y413" i="25"/>
  <c r="R413" i="25"/>
  <c r="S413" i="25" s="1"/>
  <c r="Y421" i="25"/>
  <c r="R421" i="25"/>
  <c r="S421" i="25" s="1"/>
  <c r="Y429" i="25"/>
  <c r="R429" i="25"/>
  <c r="S429" i="25" s="1"/>
  <c r="Y437" i="25"/>
  <c r="R437" i="25"/>
  <c r="S437" i="25" s="1"/>
  <c r="Y445" i="25"/>
  <c r="R445" i="25"/>
  <c r="S445" i="25" s="1"/>
  <c r="R453" i="25"/>
  <c r="S453" i="25" s="1"/>
  <c r="Y453" i="25"/>
  <c r="Y461" i="25"/>
  <c r="R461" i="25"/>
  <c r="S461" i="25" s="1"/>
  <c r="R470" i="25"/>
  <c r="S470" i="25" s="1"/>
  <c r="Y470" i="25"/>
  <c r="Y484" i="25"/>
  <c r="R484" i="25"/>
  <c r="S484" i="25" s="1"/>
  <c r="X509" i="25"/>
  <c r="Q509" i="25"/>
  <c r="Y490" i="25"/>
  <c r="R490" i="25"/>
  <c r="S490" i="25" s="1"/>
  <c r="Y498" i="25"/>
  <c r="R498" i="25"/>
  <c r="S498" i="25" s="1"/>
  <c r="R506" i="25"/>
  <c r="S506" i="25" s="1"/>
  <c r="Y506" i="25"/>
  <c r="Q514" i="25"/>
  <c r="X514" i="25"/>
  <c r="Y523" i="25"/>
  <c r="R523" i="25"/>
  <c r="S523" i="25" s="1"/>
  <c r="R483" i="25"/>
  <c r="S483" i="25" s="1"/>
  <c r="Y483" i="25"/>
  <c r="Y491" i="25"/>
  <c r="R491" i="25"/>
  <c r="S491" i="25" s="1"/>
  <c r="Y499" i="25"/>
  <c r="R499" i="25"/>
  <c r="S499" i="25" s="1"/>
  <c r="R507" i="25"/>
  <c r="S507" i="25" s="1"/>
  <c r="Y507" i="25"/>
  <c r="X518" i="25"/>
  <c r="Q518" i="25"/>
  <c r="Q466" i="25"/>
  <c r="X466" i="25"/>
  <c r="X474" i="25"/>
  <c r="Q474" i="25"/>
  <c r="Q482" i="25"/>
  <c r="X482" i="25"/>
  <c r="Q490" i="25"/>
  <c r="X490" i="25"/>
  <c r="Q498" i="25"/>
  <c r="X498" i="25"/>
  <c r="X506" i="25"/>
  <c r="Q506" i="25"/>
  <c r="R513" i="25"/>
  <c r="S513" i="25" s="1"/>
  <c r="Y513" i="25"/>
  <c r="Y527" i="25"/>
  <c r="R527" i="25"/>
  <c r="S527" i="25" s="1"/>
  <c r="X515" i="25"/>
  <c r="Q515" i="25"/>
  <c r="X523" i="25"/>
  <c r="Q523" i="25"/>
  <c r="Y533" i="25"/>
  <c r="R533" i="25"/>
  <c r="S533" i="25" s="1"/>
  <c r="Q547" i="25"/>
  <c r="X547" i="25"/>
  <c r="R529" i="25"/>
  <c r="S529" i="25" s="1"/>
  <c r="Y529" i="25"/>
  <c r="X543" i="25"/>
  <c r="Q543" i="25"/>
  <c r="R564" i="25"/>
  <c r="S564" i="25" s="1"/>
  <c r="Y564" i="25"/>
  <c r="R526" i="25"/>
  <c r="S526" i="25" s="1"/>
  <c r="Y526" i="25"/>
  <c r="Q541" i="25"/>
  <c r="X541" i="25"/>
  <c r="R544" i="25"/>
  <c r="S544" i="25" s="1"/>
  <c r="Y544" i="25"/>
  <c r="Y552" i="25"/>
  <c r="R552" i="25"/>
  <c r="S552" i="25" s="1"/>
  <c r="R562" i="25"/>
  <c r="S562" i="25" s="1"/>
  <c r="Y562" i="25"/>
  <c r="X574" i="25"/>
  <c r="Q574" i="25"/>
  <c r="R541" i="25"/>
  <c r="S541" i="25" s="1"/>
  <c r="Y541" i="25"/>
  <c r="Y549" i="25"/>
  <c r="R549" i="25"/>
  <c r="S549" i="25" s="1"/>
  <c r="R558" i="25"/>
  <c r="S558" i="25" s="1"/>
  <c r="Y558" i="25"/>
  <c r="Q526" i="25"/>
  <c r="X526" i="25"/>
  <c r="X534" i="25"/>
  <c r="Q534" i="25"/>
  <c r="X542" i="25"/>
  <c r="Q542" i="25"/>
  <c r="Q550" i="25"/>
  <c r="X550" i="25"/>
  <c r="Y560" i="25"/>
  <c r="R560" i="25"/>
  <c r="S560" i="25" s="1"/>
  <c r="Q576" i="25"/>
  <c r="X576" i="25"/>
  <c r="R571" i="25"/>
  <c r="S571" i="25" s="1"/>
  <c r="Y571" i="25"/>
  <c r="Y579" i="25"/>
  <c r="R579" i="25"/>
  <c r="S579" i="25" s="1"/>
  <c r="Y568" i="25"/>
  <c r="R568" i="25"/>
  <c r="S568" i="25" s="1"/>
  <c r="R576" i="25"/>
  <c r="S576" i="25" s="1"/>
  <c r="Y576" i="25"/>
  <c r="R585" i="25"/>
  <c r="S585" i="25" s="1"/>
  <c r="Y585" i="25"/>
  <c r="X561" i="25"/>
  <c r="Q561" i="25"/>
  <c r="Q569" i="25"/>
  <c r="X569" i="25"/>
  <c r="Y577" i="25"/>
  <c r="R577" i="25"/>
  <c r="S577" i="25" s="1"/>
  <c r="Q577" i="25"/>
  <c r="X577" i="25"/>
  <c r="X585" i="25"/>
  <c r="Q585" i="25"/>
  <c r="Y596" i="25"/>
  <c r="R596" i="25"/>
  <c r="S596" i="25" s="1"/>
  <c r="Q588" i="25"/>
  <c r="X588" i="25"/>
  <c r="Q594" i="25"/>
  <c r="X594" i="25"/>
  <c r="R588" i="25"/>
  <c r="S588" i="25" s="1"/>
  <c r="Y588" i="25"/>
  <c r="Q596" i="25"/>
  <c r="X596" i="25"/>
  <c r="R595" i="25"/>
  <c r="S595" i="25" s="1"/>
  <c r="Y595" i="25"/>
  <c r="Y603" i="25"/>
  <c r="R603" i="25"/>
  <c r="S603" i="25" s="1"/>
  <c r="Y598" i="25"/>
  <c r="R598" i="25"/>
  <c r="S598" i="25" s="1"/>
  <c r="R606" i="25"/>
  <c r="S606" i="25" s="1"/>
  <c r="Y606" i="25"/>
  <c r="X601" i="25"/>
  <c r="Q601" i="25"/>
  <c r="Q610" i="25"/>
  <c r="X610" i="25"/>
  <c r="Q613" i="25"/>
  <c r="X613" i="25"/>
  <c r="R609" i="25"/>
  <c r="S609" i="25" s="1"/>
  <c r="Y609" i="25"/>
  <c r="X21" i="25"/>
  <c r="Q21" i="25"/>
  <c r="X19" i="25"/>
  <c r="Q19" i="25"/>
  <c r="X189" i="25"/>
  <c r="Q189" i="25"/>
  <c r="X118" i="25"/>
  <c r="Q118" i="25"/>
  <c r="X121" i="25"/>
  <c r="Q121" i="25"/>
  <c r="X95" i="25"/>
  <c r="Q95" i="25"/>
  <c r="Y49" i="25"/>
  <c r="R49" i="25"/>
  <c r="S49" i="25" s="1"/>
  <c r="R35" i="25"/>
  <c r="S35" i="25" s="1"/>
  <c r="Y35" i="25"/>
  <c r="R67" i="25"/>
  <c r="S67" i="25" s="1"/>
  <c r="Y67" i="25"/>
  <c r="X108" i="25"/>
  <c r="Q108" i="25"/>
  <c r="Y167" i="25"/>
  <c r="R167" i="25"/>
  <c r="S167" i="25" s="1"/>
  <c r="Y215" i="25"/>
  <c r="R215" i="25"/>
  <c r="S215" i="25" s="1"/>
  <c r="Q49" i="25"/>
  <c r="X49" i="25"/>
  <c r="X81" i="25"/>
  <c r="Q81" i="25"/>
  <c r="X104" i="25"/>
  <c r="Q104" i="25"/>
  <c r="Y129" i="25"/>
  <c r="R129" i="25"/>
  <c r="S129" i="25" s="1"/>
  <c r="Y209" i="25"/>
  <c r="R209" i="25"/>
  <c r="S209" i="25" s="1"/>
  <c r="X59" i="25"/>
  <c r="Q59" i="25"/>
  <c r="Y105" i="25"/>
  <c r="R105" i="25"/>
  <c r="S105" i="25" s="1"/>
  <c r="X147" i="25"/>
  <c r="Q147" i="25"/>
  <c r="X195" i="25"/>
  <c r="Q195" i="25"/>
  <c r="X231" i="25"/>
  <c r="Q231" i="25"/>
  <c r="Y48" i="25"/>
  <c r="R48" i="25"/>
  <c r="S48" i="25" s="1"/>
  <c r="R72" i="25"/>
  <c r="S72" i="25" s="1"/>
  <c r="Y72" i="25"/>
  <c r="R104" i="25"/>
  <c r="S104" i="25" s="1"/>
  <c r="Y104" i="25"/>
  <c r="Y128" i="25"/>
  <c r="R128" i="25"/>
  <c r="S128" i="25" s="1"/>
  <c r="Y160" i="25"/>
  <c r="R160" i="25"/>
  <c r="S160" i="25" s="1"/>
  <c r="Y184" i="25"/>
  <c r="R184" i="25"/>
  <c r="S184" i="25" s="1"/>
  <c r="Y208" i="25"/>
  <c r="R208" i="25"/>
  <c r="S208" i="25" s="1"/>
  <c r="X245" i="25"/>
  <c r="Q245" i="25"/>
  <c r="X289" i="25"/>
  <c r="Q289" i="25"/>
  <c r="Y250" i="25"/>
  <c r="R250" i="25"/>
  <c r="S250" i="25" s="1"/>
  <c r="Q337" i="25"/>
  <c r="X337" i="25"/>
  <c r="Q142" i="25"/>
  <c r="X142" i="25"/>
  <c r="Q174" i="25"/>
  <c r="X174" i="25"/>
  <c r="Q206" i="25"/>
  <c r="X206" i="25"/>
  <c r="Y252" i="25"/>
  <c r="R252" i="25"/>
  <c r="S252" i="25" s="1"/>
  <c r="R343" i="25"/>
  <c r="S343" i="25" s="1"/>
  <c r="Y343" i="25"/>
  <c r="Q246" i="25"/>
  <c r="X246" i="25"/>
  <c r="X278" i="25"/>
  <c r="Q278" i="25"/>
  <c r="Q319" i="25"/>
  <c r="X319" i="25"/>
  <c r="Q348" i="25"/>
  <c r="X348" i="25"/>
  <c r="X267" i="25"/>
  <c r="Q267" i="25"/>
  <c r="Y297" i="25"/>
  <c r="R297" i="25"/>
  <c r="S297" i="25" s="1"/>
  <c r="Q315" i="25"/>
  <c r="X315" i="25"/>
  <c r="Y357" i="25"/>
  <c r="R357" i="25"/>
  <c r="S357" i="25" s="1"/>
  <c r="Y271" i="25"/>
  <c r="R271" i="25"/>
  <c r="S271" i="25" s="1"/>
  <c r="Y315" i="25"/>
  <c r="R315" i="25"/>
  <c r="S315" i="25" s="1"/>
  <c r="X345" i="25"/>
  <c r="Q345" i="25"/>
  <c r="X369" i="25"/>
  <c r="Q369" i="25"/>
  <c r="R399" i="25"/>
  <c r="S399" i="25" s="1"/>
  <c r="Y399" i="25"/>
  <c r="Q370" i="25"/>
  <c r="X370" i="25"/>
  <c r="Q389" i="25"/>
  <c r="X389" i="25"/>
  <c r="R296" i="25"/>
  <c r="S296" i="25" s="1"/>
  <c r="Y296" i="25"/>
  <c r="Y328" i="25"/>
  <c r="R328" i="25"/>
  <c r="S328" i="25" s="1"/>
  <c r="Y360" i="25"/>
  <c r="R360" i="25"/>
  <c r="S360" i="25" s="1"/>
  <c r="X375" i="25"/>
  <c r="Q375" i="25"/>
  <c r="R378" i="25"/>
  <c r="S378" i="25" s="1"/>
  <c r="Y378" i="25"/>
  <c r="X403" i="25"/>
  <c r="Q403" i="25"/>
  <c r="Y406" i="25"/>
  <c r="R406" i="25"/>
  <c r="S406" i="25" s="1"/>
  <c r="R471" i="25"/>
  <c r="S471" i="25" s="1"/>
  <c r="Y471" i="25"/>
  <c r="Y428" i="25"/>
  <c r="R428" i="25"/>
  <c r="S428" i="25" s="1"/>
  <c r="X432" i="25"/>
  <c r="Q432" i="25"/>
  <c r="X456" i="25"/>
  <c r="Q456" i="25"/>
  <c r="X499" i="25"/>
  <c r="Q499" i="25"/>
  <c r="X455" i="25"/>
  <c r="Q455" i="25"/>
  <c r="Q487" i="25"/>
  <c r="X487" i="25"/>
  <c r="R423" i="25"/>
  <c r="S423" i="25" s="1"/>
  <c r="Y423" i="25"/>
  <c r="Y463" i="25"/>
  <c r="R463" i="25"/>
  <c r="S463" i="25" s="1"/>
  <c r="Y538" i="25"/>
  <c r="R538" i="25"/>
  <c r="S538" i="25" s="1"/>
  <c r="R508" i="25"/>
  <c r="S508" i="25" s="1"/>
  <c r="Y508" i="25"/>
  <c r="Y501" i="25"/>
  <c r="R501" i="25"/>
  <c r="S501" i="25" s="1"/>
  <c r="Q468" i="25"/>
  <c r="X468" i="25"/>
  <c r="X492" i="25"/>
  <c r="Q492" i="25"/>
  <c r="Q517" i="25"/>
  <c r="X517" i="25"/>
  <c r="X531" i="25"/>
  <c r="Q531" i="25"/>
  <c r="X549" i="25"/>
  <c r="Q549" i="25"/>
  <c r="Q612" i="25"/>
  <c r="X612" i="25"/>
  <c r="Q622" i="25"/>
  <c r="D632" i="25" s="1"/>
  <c r="X622" i="25"/>
  <c r="X626" i="25"/>
  <c r="Q626" i="25"/>
  <c r="D636" i="25" s="1"/>
  <c r="X13" i="25"/>
  <c r="Q13" i="25"/>
  <c r="U13" i="25" s="1"/>
  <c r="R27" i="25"/>
  <c r="S27" i="25" s="1"/>
  <c r="Y27" i="25"/>
  <c r="X153" i="25"/>
  <c r="Q153" i="25"/>
  <c r="R15" i="25"/>
  <c r="S15" i="25" s="1"/>
  <c r="Y15" i="25"/>
  <c r="Q27" i="25"/>
  <c r="X27" i="25"/>
  <c r="Y39" i="25"/>
  <c r="R39" i="25"/>
  <c r="S39" i="25" s="1"/>
  <c r="Y101" i="25"/>
  <c r="R101" i="25"/>
  <c r="S101" i="25" s="1"/>
  <c r="X141" i="25"/>
  <c r="Q141" i="25"/>
  <c r="Q205" i="25"/>
  <c r="X205" i="25"/>
  <c r="X15" i="25"/>
  <c r="Q15" i="25"/>
  <c r="X25" i="25"/>
  <c r="Q25" i="25"/>
  <c r="Y53" i="25"/>
  <c r="R53" i="25"/>
  <c r="S53" i="25" s="1"/>
  <c r="Q86" i="25"/>
  <c r="X86" i="25"/>
  <c r="Q119" i="25"/>
  <c r="X119" i="25"/>
  <c r="X181" i="25"/>
  <c r="Q181" i="25"/>
  <c r="X247" i="25"/>
  <c r="Q247" i="25"/>
  <c r="X46" i="25"/>
  <c r="Q46" i="25"/>
  <c r="X137" i="25"/>
  <c r="Q137" i="25"/>
  <c r="X16" i="25"/>
  <c r="Q16" i="25"/>
  <c r="Y25" i="25"/>
  <c r="R25" i="25"/>
  <c r="S25" i="25" s="1"/>
  <c r="X63" i="25"/>
  <c r="Q63" i="25"/>
  <c r="Q129" i="25"/>
  <c r="X129" i="25"/>
  <c r="Q193" i="25"/>
  <c r="X193" i="25"/>
  <c r="X26" i="25"/>
  <c r="Q26" i="25"/>
  <c r="R41" i="25"/>
  <c r="S41" i="25" s="1"/>
  <c r="Y41" i="25"/>
  <c r="X51" i="25"/>
  <c r="Q51" i="25"/>
  <c r="Y18" i="25"/>
  <c r="R18" i="25"/>
  <c r="S18" i="25" s="1"/>
  <c r="R26" i="25"/>
  <c r="S26" i="25" s="1"/>
  <c r="Y26" i="25"/>
  <c r="X36" i="25"/>
  <c r="Q36" i="25"/>
  <c r="X45" i="25"/>
  <c r="Q45" i="25"/>
  <c r="Y59" i="25"/>
  <c r="R59" i="25"/>
  <c r="S59" i="25" s="1"/>
  <c r="Q68" i="25"/>
  <c r="X68" i="25"/>
  <c r="X77" i="25"/>
  <c r="Q77" i="25"/>
  <c r="Y91" i="25"/>
  <c r="R91" i="25"/>
  <c r="S91" i="25" s="1"/>
  <c r="X100" i="25"/>
  <c r="Q100" i="25"/>
  <c r="Q109" i="25"/>
  <c r="X109" i="25"/>
  <c r="Y123" i="25"/>
  <c r="R123" i="25"/>
  <c r="S123" i="25" s="1"/>
  <c r="Y139" i="25"/>
  <c r="R139" i="25"/>
  <c r="S139" i="25" s="1"/>
  <c r="Y155" i="25"/>
  <c r="R155" i="25"/>
  <c r="S155" i="25" s="1"/>
  <c r="Y171" i="25"/>
  <c r="R171" i="25"/>
  <c r="S171" i="25" s="1"/>
  <c r="Y187" i="25"/>
  <c r="R187" i="25"/>
  <c r="S187" i="25" s="1"/>
  <c r="Y203" i="25"/>
  <c r="R203" i="25"/>
  <c r="S203" i="25" s="1"/>
  <c r="Y219" i="25"/>
  <c r="R219" i="25"/>
  <c r="S219" i="25" s="1"/>
  <c r="Y270" i="25"/>
  <c r="R270" i="25"/>
  <c r="S270" i="25" s="1"/>
  <c r="Q41" i="25"/>
  <c r="X41" i="25"/>
  <c r="R55" i="25"/>
  <c r="S55" i="25" s="1"/>
  <c r="Y55" i="25"/>
  <c r="X64" i="25"/>
  <c r="Q64" i="25"/>
  <c r="Q73" i="25"/>
  <c r="X73" i="25"/>
  <c r="Y87" i="25"/>
  <c r="R87" i="25"/>
  <c r="S87" i="25" s="1"/>
  <c r="Q96" i="25"/>
  <c r="X96" i="25"/>
  <c r="Q105" i="25"/>
  <c r="X105" i="25"/>
  <c r="Y119" i="25"/>
  <c r="R119" i="25"/>
  <c r="S119" i="25" s="1"/>
  <c r="Y133" i="25"/>
  <c r="R133" i="25"/>
  <c r="S133" i="25" s="1"/>
  <c r="Y149" i="25"/>
  <c r="R149" i="25"/>
  <c r="S149" i="25" s="1"/>
  <c r="Y165" i="25"/>
  <c r="R165" i="25"/>
  <c r="S165" i="25" s="1"/>
  <c r="Y181" i="25"/>
  <c r="R181" i="25"/>
  <c r="S181" i="25" s="1"/>
  <c r="Y197" i="25"/>
  <c r="R197" i="25"/>
  <c r="S197" i="25" s="1"/>
  <c r="Y213" i="25"/>
  <c r="R213" i="25"/>
  <c r="S213" i="25" s="1"/>
  <c r="X255" i="25"/>
  <c r="Q255" i="25"/>
  <c r="X35" i="25"/>
  <c r="Q35" i="25"/>
  <c r="R65" i="25"/>
  <c r="S65" i="25" s="1"/>
  <c r="Y65" i="25"/>
  <c r="X74" i="25"/>
  <c r="Q74" i="25"/>
  <c r="X83" i="25"/>
  <c r="Q83" i="25"/>
  <c r="R97" i="25"/>
  <c r="S97" i="25" s="1"/>
  <c r="Y97" i="25"/>
  <c r="X106" i="25"/>
  <c r="Q106" i="25"/>
  <c r="Q115" i="25"/>
  <c r="X115" i="25"/>
  <c r="Q135" i="25"/>
  <c r="X135" i="25"/>
  <c r="Q151" i="25"/>
  <c r="X151" i="25"/>
  <c r="Q167" i="25"/>
  <c r="X167" i="25"/>
  <c r="Q183" i="25"/>
  <c r="X183" i="25"/>
  <c r="Q199" i="25"/>
  <c r="X199" i="25"/>
  <c r="Q215" i="25"/>
  <c r="X215" i="25"/>
  <c r="R232" i="25"/>
  <c r="S232" i="25" s="1"/>
  <c r="Y232" i="25"/>
  <c r="Q296" i="25"/>
  <c r="X296" i="25"/>
  <c r="R34" i="25"/>
  <c r="S34" i="25" s="1"/>
  <c r="Y34" i="25"/>
  <c r="R42" i="25"/>
  <c r="S42" i="25" s="1"/>
  <c r="Y42" i="25"/>
  <c r="R50" i="25"/>
  <c r="S50" i="25" s="1"/>
  <c r="Y50" i="25"/>
  <c r="R58" i="25"/>
  <c r="S58" i="25" s="1"/>
  <c r="Y58" i="25"/>
  <c r="R66" i="25"/>
  <c r="S66" i="25" s="1"/>
  <c r="Y66" i="25"/>
  <c r="Y74" i="25"/>
  <c r="R74" i="25"/>
  <c r="S74" i="25" s="1"/>
  <c r="Y82" i="25"/>
  <c r="R82" i="25"/>
  <c r="S82" i="25" s="1"/>
  <c r="Y90" i="25"/>
  <c r="R90" i="25"/>
  <c r="S90" i="25" s="1"/>
  <c r="R98" i="25"/>
  <c r="S98" i="25" s="1"/>
  <c r="Y98" i="25"/>
  <c r="R106" i="25"/>
  <c r="S106" i="25" s="1"/>
  <c r="Y106" i="25"/>
  <c r="R114" i="25"/>
  <c r="S114" i="25" s="1"/>
  <c r="Y114" i="25"/>
  <c r="R122" i="25"/>
  <c r="S122" i="25" s="1"/>
  <c r="Y122" i="25"/>
  <c r="Y130" i="25"/>
  <c r="R130" i="25"/>
  <c r="S130" i="25" s="1"/>
  <c r="Y138" i="25"/>
  <c r="R138" i="25"/>
  <c r="S138" i="25" s="1"/>
  <c r="Y146" i="25"/>
  <c r="R146" i="25"/>
  <c r="S146" i="25" s="1"/>
  <c r="R154" i="25"/>
  <c r="S154" i="25" s="1"/>
  <c r="Y154" i="25"/>
  <c r="R162" i="25"/>
  <c r="S162" i="25" s="1"/>
  <c r="Y162" i="25"/>
  <c r="Y170" i="25"/>
  <c r="R170" i="25"/>
  <c r="S170" i="25" s="1"/>
  <c r="Y178" i="25"/>
  <c r="R178" i="25"/>
  <c r="S178" i="25" s="1"/>
  <c r="R186" i="25"/>
  <c r="S186" i="25" s="1"/>
  <c r="Y186" i="25"/>
  <c r="Y194" i="25"/>
  <c r="R194" i="25"/>
  <c r="S194" i="25" s="1"/>
  <c r="Y202" i="25"/>
  <c r="R202" i="25"/>
  <c r="S202" i="25" s="1"/>
  <c r="Y210" i="25"/>
  <c r="R210" i="25"/>
  <c r="S210" i="25" s="1"/>
  <c r="R218" i="25"/>
  <c r="S218" i="25" s="1"/>
  <c r="Y218" i="25"/>
  <c r="R227" i="25"/>
  <c r="S227" i="25" s="1"/>
  <c r="Y227" i="25"/>
  <c r="Q237" i="25"/>
  <c r="X237" i="25"/>
  <c r="R246" i="25"/>
  <c r="S246" i="25" s="1"/>
  <c r="Y246" i="25"/>
  <c r="Y259" i="25"/>
  <c r="R259" i="25"/>
  <c r="S259" i="25" s="1"/>
  <c r="R272" i="25"/>
  <c r="S272" i="25" s="1"/>
  <c r="Y272" i="25"/>
  <c r="Y319" i="25"/>
  <c r="R319" i="25"/>
  <c r="S319" i="25" s="1"/>
  <c r="Y223" i="25"/>
  <c r="R223" i="25"/>
  <c r="S223" i="25" s="1"/>
  <c r="Q233" i="25"/>
  <c r="X233" i="25"/>
  <c r="Y242" i="25"/>
  <c r="R242" i="25"/>
  <c r="S242" i="25" s="1"/>
  <c r="Y255" i="25"/>
  <c r="R255" i="25"/>
  <c r="S255" i="25" s="1"/>
  <c r="R268" i="25"/>
  <c r="S268" i="25" s="1"/>
  <c r="Y268" i="25"/>
  <c r="X305" i="25"/>
  <c r="Q305" i="25"/>
  <c r="X120" i="25"/>
  <c r="Q120" i="25"/>
  <c r="Q128" i="25"/>
  <c r="X128" i="25"/>
  <c r="Q136" i="25"/>
  <c r="X136" i="25"/>
  <c r="X144" i="25"/>
  <c r="Q144" i="25"/>
  <c r="X152" i="25"/>
  <c r="Q152" i="25"/>
  <c r="X160" i="25"/>
  <c r="Q160" i="25"/>
  <c r="Q168" i="25"/>
  <c r="X168" i="25"/>
  <c r="Q176" i="25"/>
  <c r="X176" i="25"/>
  <c r="X184" i="25"/>
  <c r="Q184" i="25"/>
  <c r="X192" i="25"/>
  <c r="Q192" i="25"/>
  <c r="Q200" i="25"/>
  <c r="X200" i="25"/>
  <c r="X208" i="25"/>
  <c r="Q208" i="25"/>
  <c r="X216" i="25"/>
  <c r="Q216" i="25"/>
  <c r="X224" i="25"/>
  <c r="Q224" i="25"/>
  <c r="X235" i="25"/>
  <c r="Q235" i="25"/>
  <c r="Y244" i="25"/>
  <c r="R244" i="25"/>
  <c r="S244" i="25" s="1"/>
  <c r="Y257" i="25"/>
  <c r="R257" i="25"/>
  <c r="S257" i="25" s="1"/>
  <c r="Y274" i="25"/>
  <c r="R274" i="25"/>
  <c r="S274" i="25" s="1"/>
  <c r="R311" i="25"/>
  <c r="S311" i="25" s="1"/>
  <c r="Y311" i="25"/>
  <c r="Y367" i="25"/>
  <c r="R367" i="25"/>
  <c r="S367" i="25" s="1"/>
  <c r="Q232" i="25"/>
  <c r="X232" i="25"/>
  <c r="X240" i="25"/>
  <c r="Q240" i="25"/>
  <c r="X248" i="25"/>
  <c r="Q248" i="25"/>
  <c r="X256" i="25"/>
  <c r="Q256" i="25"/>
  <c r="Q264" i="25"/>
  <c r="X264" i="25"/>
  <c r="X272" i="25"/>
  <c r="Q272" i="25"/>
  <c r="X279" i="25"/>
  <c r="Q279" i="25"/>
  <c r="Y293" i="25"/>
  <c r="R293" i="25"/>
  <c r="S293" i="25" s="1"/>
  <c r="Q302" i="25"/>
  <c r="X302" i="25"/>
  <c r="Q311" i="25"/>
  <c r="X311" i="25"/>
  <c r="Y325" i="25"/>
  <c r="R325" i="25"/>
  <c r="S325" i="25" s="1"/>
  <c r="X334" i="25"/>
  <c r="Q334" i="25"/>
  <c r="X343" i="25"/>
  <c r="Q343" i="25"/>
  <c r="Y351" i="25"/>
  <c r="R351" i="25"/>
  <c r="S351" i="25" s="1"/>
  <c r="R359" i="25"/>
  <c r="S359" i="25" s="1"/>
  <c r="Y359" i="25"/>
  <c r="Y369" i="25"/>
  <c r="R369" i="25"/>
  <c r="S369" i="25" s="1"/>
  <c r="Y442" i="25"/>
  <c r="R442" i="25"/>
  <c r="S442" i="25" s="1"/>
  <c r="Q269" i="25"/>
  <c r="X269" i="25"/>
  <c r="X277" i="25"/>
  <c r="Q277" i="25"/>
  <c r="Y289" i="25"/>
  <c r="R289" i="25"/>
  <c r="S289" i="25" s="1"/>
  <c r="X298" i="25"/>
  <c r="Q298" i="25"/>
  <c r="X307" i="25"/>
  <c r="Q307" i="25"/>
  <c r="R321" i="25"/>
  <c r="S321" i="25" s="1"/>
  <c r="Y321" i="25"/>
  <c r="Q330" i="25"/>
  <c r="X330" i="25"/>
  <c r="Q339" i="25"/>
  <c r="X339" i="25"/>
  <c r="Q350" i="25"/>
  <c r="X350" i="25"/>
  <c r="X358" i="25"/>
  <c r="Q358" i="25"/>
  <c r="Y373" i="25"/>
  <c r="R373" i="25"/>
  <c r="S373" i="25" s="1"/>
  <c r="Y265" i="25"/>
  <c r="R265" i="25"/>
  <c r="S265" i="25" s="1"/>
  <c r="Y273" i="25"/>
  <c r="R273" i="25"/>
  <c r="S273" i="25" s="1"/>
  <c r="Q284" i="25"/>
  <c r="X284" i="25"/>
  <c r="X293" i="25"/>
  <c r="Q293" i="25"/>
  <c r="Y307" i="25"/>
  <c r="R307" i="25"/>
  <c r="S307" i="25" s="1"/>
  <c r="X316" i="25"/>
  <c r="Q316" i="25"/>
  <c r="Q325" i="25"/>
  <c r="X325" i="25"/>
  <c r="R339" i="25"/>
  <c r="S339" i="25" s="1"/>
  <c r="Y339" i="25"/>
  <c r="Y385" i="25"/>
  <c r="R385" i="25"/>
  <c r="S385" i="25" s="1"/>
  <c r="X347" i="25"/>
  <c r="Q347" i="25"/>
  <c r="Q355" i="25"/>
  <c r="X355" i="25"/>
  <c r="Q363" i="25"/>
  <c r="X363" i="25"/>
  <c r="X371" i="25"/>
  <c r="Q371" i="25"/>
  <c r="X377" i="25"/>
  <c r="Q377" i="25"/>
  <c r="Y391" i="25"/>
  <c r="R391" i="25"/>
  <c r="S391" i="25" s="1"/>
  <c r="Y400" i="25"/>
  <c r="R400" i="25"/>
  <c r="S400" i="25" s="1"/>
  <c r="Y450" i="25"/>
  <c r="R450" i="25"/>
  <c r="S450" i="25" s="1"/>
  <c r="X372" i="25"/>
  <c r="Q372" i="25"/>
  <c r="X381" i="25"/>
  <c r="Q381" i="25"/>
  <c r="Y395" i="25"/>
  <c r="R395" i="25"/>
  <c r="S395" i="25" s="1"/>
  <c r="X405" i="25"/>
  <c r="Q405" i="25"/>
  <c r="R282" i="25"/>
  <c r="S282" i="25" s="1"/>
  <c r="Y282" i="25"/>
  <c r="Y290" i="25"/>
  <c r="R290" i="25"/>
  <c r="S290" i="25" s="1"/>
  <c r="R298" i="25"/>
  <c r="S298" i="25" s="1"/>
  <c r="Y298" i="25"/>
  <c r="R306" i="25"/>
  <c r="S306" i="25" s="1"/>
  <c r="Y306" i="25"/>
  <c r="R314" i="25"/>
  <c r="S314" i="25" s="1"/>
  <c r="Y314" i="25"/>
  <c r="R322" i="25"/>
  <c r="S322" i="25" s="1"/>
  <c r="Y322" i="25"/>
  <c r="R330" i="25"/>
  <c r="S330" i="25" s="1"/>
  <c r="Y330" i="25"/>
  <c r="Y338" i="25"/>
  <c r="R338" i="25"/>
  <c r="S338" i="25" s="1"/>
  <c r="Y346" i="25"/>
  <c r="R346" i="25"/>
  <c r="S346" i="25" s="1"/>
  <c r="Y354" i="25"/>
  <c r="R354" i="25"/>
  <c r="S354" i="25" s="1"/>
  <c r="R362" i="25"/>
  <c r="S362" i="25" s="1"/>
  <c r="Y362" i="25"/>
  <c r="R370" i="25"/>
  <c r="S370" i="25" s="1"/>
  <c r="Y370" i="25"/>
  <c r="Y381" i="25"/>
  <c r="R381" i="25"/>
  <c r="S381" i="25" s="1"/>
  <c r="X390" i="25"/>
  <c r="Q390" i="25"/>
  <c r="Q399" i="25"/>
  <c r="X399" i="25"/>
  <c r="X414" i="25"/>
  <c r="Q414" i="25"/>
  <c r="Y380" i="25"/>
  <c r="R380" i="25"/>
  <c r="S380" i="25" s="1"/>
  <c r="Y388" i="25"/>
  <c r="R388" i="25"/>
  <c r="S388" i="25" s="1"/>
  <c r="Y396" i="25"/>
  <c r="R396" i="25"/>
  <c r="S396" i="25" s="1"/>
  <c r="X404" i="25"/>
  <c r="Q404" i="25"/>
  <c r="Y418" i="25"/>
  <c r="R418" i="25"/>
  <c r="S418" i="25" s="1"/>
  <c r="X427" i="25"/>
  <c r="Q427" i="25"/>
  <c r="Y460" i="25"/>
  <c r="R460" i="25"/>
  <c r="S460" i="25" s="1"/>
  <c r="Q407" i="25"/>
  <c r="X407" i="25"/>
  <c r="X416" i="25"/>
  <c r="Q416" i="25"/>
  <c r="X428" i="25"/>
  <c r="Q428" i="25"/>
  <c r="Y456" i="25"/>
  <c r="R456" i="25"/>
  <c r="S456" i="25" s="1"/>
  <c r="X483" i="25"/>
  <c r="Q483" i="25"/>
  <c r="X401" i="25"/>
  <c r="Q401" i="25"/>
  <c r="X410" i="25"/>
  <c r="Q410" i="25"/>
  <c r="R424" i="25"/>
  <c r="S424" i="25" s="1"/>
  <c r="Y424" i="25"/>
  <c r="R430" i="25"/>
  <c r="S430" i="25" s="1"/>
  <c r="Y430" i="25"/>
  <c r="R462" i="25"/>
  <c r="S462" i="25" s="1"/>
  <c r="Y462" i="25"/>
  <c r="X489" i="25"/>
  <c r="Q489" i="25"/>
  <c r="X434" i="25"/>
  <c r="Q434" i="25"/>
  <c r="Q442" i="25"/>
  <c r="X442" i="25"/>
  <c r="X450" i="25"/>
  <c r="Q450" i="25"/>
  <c r="Q458" i="25"/>
  <c r="X458" i="25"/>
  <c r="Y469" i="25"/>
  <c r="R469" i="25"/>
  <c r="S469" i="25" s="1"/>
  <c r="X479" i="25"/>
  <c r="Q479" i="25"/>
  <c r="Q507" i="25"/>
  <c r="X507" i="25"/>
  <c r="Q433" i="25"/>
  <c r="X433" i="25"/>
  <c r="X441" i="25"/>
  <c r="Q441" i="25"/>
  <c r="X449" i="25"/>
  <c r="Q449" i="25"/>
  <c r="Q457" i="25"/>
  <c r="X457" i="25"/>
  <c r="Y465" i="25"/>
  <c r="R465" i="25"/>
  <c r="S465" i="25" s="1"/>
  <c r="X475" i="25"/>
  <c r="Q475" i="25"/>
  <c r="X495" i="25"/>
  <c r="Q495" i="25"/>
  <c r="R401" i="25"/>
  <c r="S401" i="25" s="1"/>
  <c r="Y401" i="25"/>
  <c r="Y409" i="25"/>
  <c r="R409" i="25"/>
  <c r="S409" i="25" s="1"/>
  <c r="R417" i="25"/>
  <c r="S417" i="25" s="1"/>
  <c r="Y417" i="25"/>
  <c r="R425" i="25"/>
  <c r="S425" i="25" s="1"/>
  <c r="Y425" i="25"/>
  <c r="Y433" i="25"/>
  <c r="R433" i="25"/>
  <c r="S433" i="25" s="1"/>
  <c r="R441" i="25"/>
  <c r="S441" i="25" s="1"/>
  <c r="Y441" i="25"/>
  <c r="Y449" i="25"/>
  <c r="R449" i="25"/>
  <c r="S449" i="25" s="1"/>
  <c r="R457" i="25"/>
  <c r="S457" i="25" s="1"/>
  <c r="Y457" i="25"/>
  <c r="Y467" i="25"/>
  <c r="R467" i="25"/>
  <c r="S467" i="25" s="1"/>
  <c r="X477" i="25"/>
  <c r="Q477" i="25"/>
  <c r="Q493" i="25"/>
  <c r="X493" i="25"/>
  <c r="R486" i="25"/>
  <c r="S486" i="25" s="1"/>
  <c r="Y486" i="25"/>
  <c r="Y494" i="25"/>
  <c r="R494" i="25"/>
  <c r="S494" i="25" s="1"/>
  <c r="R502" i="25"/>
  <c r="S502" i="25" s="1"/>
  <c r="Y502" i="25"/>
  <c r="Y510" i="25"/>
  <c r="R510" i="25"/>
  <c r="S510" i="25" s="1"/>
  <c r="R520" i="25"/>
  <c r="S520" i="25" s="1"/>
  <c r="Y520" i="25"/>
  <c r="Y530" i="25"/>
  <c r="R530" i="25"/>
  <c r="S530" i="25" s="1"/>
  <c r="R487" i="25"/>
  <c r="S487" i="25" s="1"/>
  <c r="Y487" i="25"/>
  <c r="Y495" i="25"/>
  <c r="R495" i="25"/>
  <c r="S495" i="25" s="1"/>
  <c r="R503" i="25"/>
  <c r="S503" i="25" s="1"/>
  <c r="Y503" i="25"/>
  <c r="Y511" i="25"/>
  <c r="R511" i="25"/>
  <c r="S511" i="25" s="1"/>
  <c r="X553" i="25"/>
  <c r="Q553" i="25"/>
  <c r="Q470" i="25"/>
  <c r="X470" i="25"/>
  <c r="Q478" i="25"/>
  <c r="X478" i="25"/>
  <c r="X486" i="25"/>
  <c r="Q486" i="25"/>
  <c r="Q494" i="25"/>
  <c r="X494" i="25"/>
  <c r="Q502" i="25"/>
  <c r="X502" i="25"/>
  <c r="X510" i="25"/>
  <c r="Q510" i="25"/>
  <c r="X520" i="25"/>
  <c r="Q520" i="25"/>
  <c r="Y581" i="25"/>
  <c r="R581" i="25"/>
  <c r="S581" i="25" s="1"/>
  <c r="X519" i="25"/>
  <c r="Q519" i="25"/>
  <c r="X527" i="25"/>
  <c r="Q527" i="25"/>
  <c r="Y536" i="25"/>
  <c r="R536" i="25"/>
  <c r="S536" i="25" s="1"/>
  <c r="X580" i="25"/>
  <c r="Q580" i="25"/>
  <c r="Y532" i="25"/>
  <c r="R532" i="25"/>
  <c r="S532" i="25" s="1"/>
  <c r="Q558" i="25"/>
  <c r="X558" i="25"/>
  <c r="Y524" i="25"/>
  <c r="R524" i="25"/>
  <c r="S524" i="25" s="1"/>
  <c r="X533" i="25"/>
  <c r="Q533" i="25"/>
  <c r="Y540" i="25"/>
  <c r="R540" i="25"/>
  <c r="S540" i="25" s="1"/>
  <c r="Y548" i="25"/>
  <c r="R548" i="25"/>
  <c r="S548" i="25" s="1"/>
  <c r="R556" i="25"/>
  <c r="S556" i="25" s="1"/>
  <c r="Y556" i="25"/>
  <c r="R565" i="25"/>
  <c r="S565" i="25" s="1"/>
  <c r="Y565" i="25"/>
  <c r="Y587" i="25"/>
  <c r="R587" i="25"/>
  <c r="S587" i="25" s="1"/>
  <c r="Y545" i="25"/>
  <c r="R545" i="25"/>
  <c r="S545" i="25" s="1"/>
  <c r="R553" i="25"/>
  <c r="S553" i="25" s="1"/>
  <c r="Y553" i="25"/>
  <c r="R561" i="25"/>
  <c r="S561" i="25" s="1"/>
  <c r="Y561" i="25"/>
  <c r="Q530" i="25"/>
  <c r="X530" i="25"/>
  <c r="Q538" i="25"/>
  <c r="X538" i="25"/>
  <c r="Q546" i="25"/>
  <c r="X546" i="25"/>
  <c r="X554" i="25"/>
  <c r="Q554" i="25"/>
  <c r="Y563" i="25"/>
  <c r="R563" i="25"/>
  <c r="S563" i="25" s="1"/>
  <c r="Y567" i="25"/>
  <c r="R567" i="25"/>
  <c r="S567" i="25" s="1"/>
  <c r="Y575" i="25"/>
  <c r="R575" i="25"/>
  <c r="S575" i="25" s="1"/>
  <c r="Q592" i="25"/>
  <c r="X592" i="25"/>
  <c r="R572" i="25"/>
  <c r="S572" i="25" s="1"/>
  <c r="Y572" i="25"/>
  <c r="X582" i="25"/>
  <c r="Q582" i="25"/>
  <c r="Q557" i="25"/>
  <c r="X557" i="25"/>
  <c r="X565" i="25"/>
  <c r="Q565" i="25"/>
  <c r="X573" i="25"/>
  <c r="Q573" i="25"/>
  <c r="R591" i="25"/>
  <c r="S591" i="25" s="1"/>
  <c r="Y591" i="25"/>
  <c r="Q581" i="25"/>
  <c r="X581" i="25"/>
  <c r="Q589" i="25"/>
  <c r="X589" i="25"/>
  <c r="X584" i="25"/>
  <c r="Q584" i="25"/>
  <c r="R592" i="25"/>
  <c r="S592" i="25" s="1"/>
  <c r="Y592" i="25"/>
  <c r="X606" i="25"/>
  <c r="Q606" i="25"/>
  <c r="Y594" i="25"/>
  <c r="R594" i="25"/>
  <c r="S594" i="25" s="1"/>
  <c r="R607" i="25"/>
  <c r="S607" i="25" s="1"/>
  <c r="Y607" i="25"/>
  <c r="R599" i="25"/>
  <c r="S599" i="25" s="1"/>
  <c r="Y599" i="25"/>
  <c r="Q607" i="25"/>
  <c r="X607" i="25"/>
  <c r="R602" i="25"/>
  <c r="S602" i="25" s="1"/>
  <c r="Y602" i="25"/>
  <c r="X597" i="25"/>
  <c r="Q597" i="25"/>
  <c r="Q605" i="25"/>
  <c r="X605" i="25"/>
  <c r="X609" i="25"/>
  <c r="Q609" i="25"/>
  <c r="R611" i="25"/>
  <c r="S611" i="25" s="1"/>
  <c r="Y611" i="25"/>
  <c r="R626" i="25"/>
  <c r="S626" i="25" s="1"/>
  <c r="Y626" i="25"/>
  <c r="X14" i="25"/>
  <c r="Q14" i="25"/>
  <c r="Q71" i="25"/>
  <c r="X71" i="25"/>
  <c r="Q125" i="25"/>
  <c r="X125" i="25"/>
  <c r="X23" i="25"/>
  <c r="Q23" i="25"/>
  <c r="X38" i="25"/>
  <c r="Q38" i="25"/>
  <c r="X165" i="25"/>
  <c r="Q165" i="25"/>
  <c r="Q225" i="25"/>
  <c r="X225" i="25"/>
  <c r="R13" i="25"/>
  <c r="S13" i="25" s="1"/>
  <c r="Y13" i="25"/>
  <c r="Q24" i="25"/>
  <c r="X24" i="25"/>
  <c r="Q177" i="25"/>
  <c r="X177" i="25"/>
  <c r="X34" i="25"/>
  <c r="Q34" i="25"/>
  <c r="R16" i="25"/>
  <c r="S16" i="25" s="1"/>
  <c r="Y16" i="25"/>
  <c r="X44" i="25"/>
  <c r="Q44" i="25"/>
  <c r="Q76" i="25"/>
  <c r="X76" i="25"/>
  <c r="Q85" i="25"/>
  <c r="X85" i="25"/>
  <c r="Q117" i="25"/>
  <c r="X117" i="25"/>
  <c r="Y151" i="25"/>
  <c r="R151" i="25"/>
  <c r="S151" i="25" s="1"/>
  <c r="Y183" i="25"/>
  <c r="R183" i="25"/>
  <c r="S183" i="25" s="1"/>
  <c r="Y245" i="25"/>
  <c r="R245" i="25"/>
  <c r="S245" i="25" s="1"/>
  <c r="R63" i="25"/>
  <c r="S63" i="25" s="1"/>
  <c r="Y63" i="25"/>
  <c r="Y95" i="25"/>
  <c r="R95" i="25"/>
  <c r="S95" i="25" s="1"/>
  <c r="Y145" i="25"/>
  <c r="R145" i="25"/>
  <c r="S145" i="25" s="1"/>
  <c r="R177" i="25"/>
  <c r="S177" i="25" s="1"/>
  <c r="Y177" i="25"/>
  <c r="Y229" i="25"/>
  <c r="R229" i="25"/>
  <c r="S229" i="25" s="1"/>
  <c r="Y73" i="25"/>
  <c r="R73" i="25"/>
  <c r="S73" i="25" s="1"/>
  <c r="Q82" i="25"/>
  <c r="X82" i="25"/>
  <c r="Q114" i="25"/>
  <c r="X114" i="25"/>
  <c r="X131" i="25"/>
  <c r="Q131" i="25"/>
  <c r="X179" i="25"/>
  <c r="Q179" i="25"/>
  <c r="X211" i="25"/>
  <c r="Q211" i="25"/>
  <c r="R278" i="25"/>
  <c r="S278" i="25" s="1"/>
  <c r="Y278" i="25"/>
  <c r="R40" i="25"/>
  <c r="S40" i="25" s="1"/>
  <c r="Y40" i="25"/>
  <c r="R64" i="25"/>
  <c r="S64" i="25" s="1"/>
  <c r="Y64" i="25"/>
  <c r="R88" i="25"/>
  <c r="S88" i="25" s="1"/>
  <c r="Y88" i="25"/>
  <c r="Y96" i="25"/>
  <c r="R96" i="25"/>
  <c r="S96" i="25" s="1"/>
  <c r="Y120" i="25"/>
  <c r="R120" i="25"/>
  <c r="S120" i="25" s="1"/>
  <c r="R144" i="25"/>
  <c r="S144" i="25" s="1"/>
  <c r="Y144" i="25"/>
  <c r="R152" i="25"/>
  <c r="S152" i="25" s="1"/>
  <c r="Y152" i="25"/>
  <c r="Y176" i="25"/>
  <c r="R176" i="25"/>
  <c r="S176" i="25" s="1"/>
  <c r="R192" i="25"/>
  <c r="S192" i="25" s="1"/>
  <c r="Y192" i="25"/>
  <c r="Y216" i="25"/>
  <c r="R216" i="25"/>
  <c r="S216" i="25" s="1"/>
  <c r="R235" i="25"/>
  <c r="S235" i="25" s="1"/>
  <c r="Y235" i="25"/>
  <c r="R254" i="25"/>
  <c r="S254" i="25" s="1"/>
  <c r="Y254" i="25"/>
  <c r="R221" i="25"/>
  <c r="S221" i="25" s="1"/>
  <c r="Y221" i="25"/>
  <c r="Y231" i="25"/>
  <c r="R231" i="25"/>
  <c r="S231" i="25" s="1"/>
  <c r="R263" i="25"/>
  <c r="S263" i="25" s="1"/>
  <c r="Y263" i="25"/>
  <c r="X304" i="25"/>
  <c r="Q304" i="25"/>
  <c r="X134" i="25"/>
  <c r="Q134" i="25"/>
  <c r="X158" i="25"/>
  <c r="Q158" i="25"/>
  <c r="Q166" i="25"/>
  <c r="X166" i="25"/>
  <c r="X190" i="25"/>
  <c r="Q190" i="25"/>
  <c r="Q198" i="25"/>
  <c r="X198" i="25"/>
  <c r="X222" i="25"/>
  <c r="Q222" i="25"/>
  <c r="Q243" i="25"/>
  <c r="X243" i="25"/>
  <c r="Y266" i="25"/>
  <c r="R266" i="25"/>
  <c r="S266" i="25" s="1"/>
  <c r="Q230" i="25"/>
  <c r="X230" i="25"/>
  <c r="Q254" i="25"/>
  <c r="X254" i="25"/>
  <c r="Q270" i="25"/>
  <c r="X270" i="25"/>
  <c r="X287" i="25"/>
  <c r="Q287" i="25"/>
  <c r="Q310" i="25"/>
  <c r="X310" i="25"/>
  <c r="X342" i="25"/>
  <c r="Q342" i="25"/>
  <c r="X356" i="25"/>
  <c r="Q356" i="25"/>
  <c r="X395" i="25"/>
  <c r="Q395" i="25"/>
  <c r="Q283" i="25"/>
  <c r="X283" i="25"/>
  <c r="Y329" i="25"/>
  <c r="R329" i="25"/>
  <c r="S329" i="25" s="1"/>
  <c r="R349" i="25"/>
  <c r="S349" i="25" s="1"/>
  <c r="Y349" i="25"/>
  <c r="R365" i="25"/>
  <c r="S365" i="25" s="1"/>
  <c r="Y365" i="25"/>
  <c r="R283" i="25"/>
  <c r="S283" i="25" s="1"/>
  <c r="Y283" i="25"/>
  <c r="X301" i="25"/>
  <c r="Q301" i="25"/>
  <c r="X324" i="25"/>
  <c r="Q324" i="25"/>
  <c r="Y371" i="25"/>
  <c r="R371" i="25"/>
  <c r="S371" i="25" s="1"/>
  <c r="X353" i="25"/>
  <c r="Q353" i="25"/>
  <c r="Q376" i="25"/>
  <c r="X376" i="25"/>
  <c r="Q422" i="25"/>
  <c r="X422" i="25"/>
  <c r="Y280" i="25"/>
  <c r="R280" i="25"/>
  <c r="S280" i="25" s="1"/>
  <c r="R288" i="25"/>
  <c r="S288" i="25" s="1"/>
  <c r="Y288" i="25"/>
  <c r="Y312" i="25"/>
  <c r="R312" i="25"/>
  <c r="S312" i="25" s="1"/>
  <c r="Y336" i="25"/>
  <c r="R336" i="25"/>
  <c r="S336" i="25" s="1"/>
  <c r="Y344" i="25"/>
  <c r="R344" i="25"/>
  <c r="S344" i="25" s="1"/>
  <c r="R368" i="25"/>
  <c r="S368" i="25" s="1"/>
  <c r="Y368" i="25"/>
  <c r="Q398" i="25"/>
  <c r="X398" i="25"/>
  <c r="Q413" i="25"/>
  <c r="X413" i="25"/>
  <c r="Y394" i="25"/>
  <c r="R394" i="25"/>
  <c r="S394" i="25" s="1"/>
  <c r="Y426" i="25"/>
  <c r="R426" i="25"/>
  <c r="S426" i="25" s="1"/>
  <c r="R452" i="25"/>
  <c r="S452" i="25" s="1"/>
  <c r="Y452" i="25"/>
  <c r="X424" i="25"/>
  <c r="Q424" i="25"/>
  <c r="R522" i="25"/>
  <c r="S522" i="25" s="1"/>
  <c r="Y522" i="25"/>
  <c r="X409" i="25"/>
  <c r="Q409" i="25"/>
  <c r="Y454" i="25"/>
  <c r="R454" i="25"/>
  <c r="S454" i="25" s="1"/>
  <c r="Q440" i="25"/>
  <c r="X440" i="25"/>
  <c r="X448" i="25"/>
  <c r="Q448" i="25"/>
  <c r="Y477" i="25"/>
  <c r="R477" i="25"/>
  <c r="S477" i="25" s="1"/>
  <c r="X431" i="25"/>
  <c r="Q431" i="25"/>
  <c r="X447" i="25"/>
  <c r="Q447" i="25"/>
  <c r="Y473" i="25"/>
  <c r="R473" i="25"/>
  <c r="S473" i="25" s="1"/>
  <c r="X537" i="25"/>
  <c r="Q537" i="25"/>
  <c r="R415" i="25"/>
  <c r="S415" i="25" s="1"/>
  <c r="Y415" i="25"/>
  <c r="R439" i="25"/>
  <c r="S439" i="25" s="1"/>
  <c r="Y439" i="25"/>
  <c r="Y447" i="25"/>
  <c r="R447" i="25"/>
  <c r="S447" i="25" s="1"/>
  <c r="Y475" i="25"/>
  <c r="R475" i="25"/>
  <c r="S475" i="25" s="1"/>
  <c r="Y492" i="25"/>
  <c r="R492" i="25"/>
  <c r="S492" i="25" s="1"/>
  <c r="R500" i="25"/>
  <c r="S500" i="25" s="1"/>
  <c r="Y500" i="25"/>
  <c r="Q529" i="25"/>
  <c r="X529" i="25"/>
  <c r="Y485" i="25"/>
  <c r="R485" i="25"/>
  <c r="S485" i="25" s="1"/>
  <c r="R509" i="25"/>
  <c r="S509" i="25" s="1"/>
  <c r="Y509" i="25"/>
  <c r="R519" i="25"/>
  <c r="S519" i="25" s="1"/>
  <c r="Y519" i="25"/>
  <c r="X484" i="25"/>
  <c r="Q484" i="25"/>
  <c r="X508" i="25"/>
  <c r="Q508" i="25"/>
  <c r="Y518" i="25"/>
  <c r="R518" i="25"/>
  <c r="S518" i="25" s="1"/>
  <c r="R525" i="25"/>
  <c r="S525" i="25" s="1"/>
  <c r="Y525" i="25"/>
  <c r="X555" i="25"/>
  <c r="Q555" i="25"/>
  <c r="Q551" i="25"/>
  <c r="X551" i="25"/>
  <c r="X572" i="25"/>
  <c r="Q572" i="25"/>
  <c r="Y531" i="25"/>
  <c r="R531" i="25"/>
  <c r="S531" i="25" s="1"/>
  <c r="R554" i="25"/>
  <c r="S554" i="25" s="1"/>
  <c r="Y554" i="25"/>
  <c r="X564" i="25"/>
  <c r="Q564" i="25"/>
  <c r="Y578" i="25"/>
  <c r="R578" i="25"/>
  <c r="S578" i="25" s="1"/>
  <c r="Y543" i="25"/>
  <c r="R543" i="25"/>
  <c r="S543" i="25" s="1"/>
  <c r="R551" i="25"/>
  <c r="S551" i="25" s="1"/>
  <c r="Y551" i="25"/>
  <c r="Q560" i="25"/>
  <c r="X560" i="25"/>
  <c r="Q528" i="25"/>
  <c r="X528" i="25"/>
  <c r="X536" i="25"/>
  <c r="Q536" i="25"/>
  <c r="X544" i="25"/>
  <c r="Q544" i="25"/>
  <c r="Q552" i="25"/>
  <c r="X552" i="25"/>
  <c r="X562" i="25"/>
  <c r="Q562" i="25"/>
  <c r="Y584" i="25"/>
  <c r="R584" i="25"/>
  <c r="S584" i="25" s="1"/>
  <c r="Y573" i="25"/>
  <c r="R573" i="25"/>
  <c r="S573" i="25" s="1"/>
  <c r="Y589" i="25"/>
  <c r="R589" i="25"/>
  <c r="S589" i="25" s="1"/>
  <c r="R570" i="25"/>
  <c r="S570" i="25" s="1"/>
  <c r="Y570" i="25"/>
  <c r="Y580" i="25"/>
  <c r="R580" i="25"/>
  <c r="S580" i="25" s="1"/>
  <c r="X600" i="25"/>
  <c r="Q600" i="25"/>
  <c r="Q563" i="25"/>
  <c r="X563" i="25"/>
  <c r="X571" i="25"/>
  <c r="Q571" i="25"/>
  <c r="R582" i="25"/>
  <c r="S582" i="25" s="1"/>
  <c r="Y582" i="25"/>
  <c r="X579" i="25"/>
  <c r="Q579" i="25"/>
  <c r="X587" i="25"/>
  <c r="Q587" i="25"/>
  <c r="X602" i="25"/>
  <c r="Q602" i="25"/>
  <c r="X590" i="25"/>
  <c r="Q590" i="25"/>
  <c r="Q598" i="25"/>
  <c r="X598" i="25"/>
  <c r="Y590" i="25"/>
  <c r="R590" i="25"/>
  <c r="S590" i="25" s="1"/>
  <c r="X604" i="25"/>
  <c r="Q604" i="25"/>
  <c r="Y597" i="25"/>
  <c r="R597" i="25"/>
  <c r="S597" i="25" s="1"/>
  <c r="R605" i="25"/>
  <c r="S605" i="25" s="1"/>
  <c r="Y605" i="25"/>
  <c r="Y600" i="25"/>
  <c r="R600" i="25"/>
  <c r="S600" i="25" s="1"/>
  <c r="X603" i="25"/>
  <c r="Q603" i="25"/>
  <c r="R627" i="25"/>
  <c r="S627" i="25" s="1"/>
  <c r="AB627" i="25"/>
  <c r="Y622" i="25"/>
  <c r="R622" i="25"/>
  <c r="S622" i="25" s="1"/>
  <c r="Y19" i="25"/>
  <c r="R19" i="25"/>
  <c r="S19" i="25" s="1"/>
  <c r="Q47" i="25"/>
  <c r="X47" i="25"/>
  <c r="X185" i="25"/>
  <c r="Q185" i="25"/>
  <c r="R17" i="25"/>
  <c r="S17" i="25" s="1"/>
  <c r="Y17" i="25"/>
  <c r="R29" i="25"/>
  <c r="S29" i="25" s="1"/>
  <c r="Y29" i="25"/>
  <c r="Y69" i="25"/>
  <c r="R69" i="25"/>
  <c r="S69" i="25" s="1"/>
  <c r="Q102" i="25"/>
  <c r="X102" i="25"/>
  <c r="X157" i="25"/>
  <c r="Q157" i="25"/>
  <c r="Q32" i="25"/>
  <c r="X32" i="25"/>
  <c r="Y21" i="25"/>
  <c r="R21" i="25"/>
  <c r="S21" i="25" s="1"/>
  <c r="Y31" i="25"/>
  <c r="R31" i="25"/>
  <c r="S31" i="25" s="1"/>
  <c r="Q54" i="25"/>
  <c r="X54" i="25"/>
  <c r="X87" i="25"/>
  <c r="Q87" i="25"/>
  <c r="X133" i="25"/>
  <c r="Q133" i="25"/>
  <c r="Q197" i="25"/>
  <c r="X197" i="25"/>
  <c r="Y253" i="25"/>
  <c r="R253" i="25"/>
  <c r="S253" i="25" s="1"/>
  <c r="R77" i="25"/>
  <c r="S77" i="25" s="1"/>
  <c r="Y77" i="25"/>
  <c r="X169" i="25"/>
  <c r="Q169" i="25"/>
  <c r="X17" i="25"/>
  <c r="Q17" i="25"/>
  <c r="X39" i="25"/>
  <c r="Q39" i="25"/>
  <c r="R93" i="25"/>
  <c r="S93" i="25" s="1"/>
  <c r="Y93" i="25"/>
  <c r="Q145" i="25"/>
  <c r="X145" i="25"/>
  <c r="Q209" i="25"/>
  <c r="X209" i="25"/>
  <c r="Q28" i="25"/>
  <c r="X28" i="25"/>
  <c r="X42" i="25"/>
  <c r="Q42" i="25"/>
  <c r="Y57" i="25"/>
  <c r="R57" i="25"/>
  <c r="S57" i="25" s="1"/>
  <c r="R20" i="25"/>
  <c r="S20" i="25" s="1"/>
  <c r="Y20" i="25"/>
  <c r="Y28" i="25"/>
  <c r="R28" i="25"/>
  <c r="S28" i="25" s="1"/>
  <c r="X37" i="25"/>
  <c r="Q37" i="25"/>
  <c r="R51" i="25"/>
  <c r="S51" i="25" s="1"/>
  <c r="Y51" i="25"/>
  <c r="X60" i="25"/>
  <c r="Q60" i="25"/>
  <c r="X69" i="25"/>
  <c r="Q69" i="25"/>
  <c r="R83" i="25"/>
  <c r="S83" i="25" s="1"/>
  <c r="Y83" i="25"/>
  <c r="X92" i="25"/>
  <c r="Q92" i="25"/>
  <c r="Q101" i="25"/>
  <c r="X101" i="25"/>
  <c r="R115" i="25"/>
  <c r="S115" i="25" s="1"/>
  <c r="Y115" i="25"/>
  <c r="Y127" i="25"/>
  <c r="R127" i="25"/>
  <c r="S127" i="25" s="1"/>
  <c r="R143" i="25"/>
  <c r="S143" i="25" s="1"/>
  <c r="Y143" i="25"/>
  <c r="Y159" i="25"/>
  <c r="R159" i="25"/>
  <c r="S159" i="25" s="1"/>
  <c r="Y175" i="25"/>
  <c r="R175" i="25"/>
  <c r="S175" i="25" s="1"/>
  <c r="R191" i="25"/>
  <c r="S191" i="25" s="1"/>
  <c r="Y191" i="25"/>
  <c r="Y207" i="25"/>
  <c r="R207" i="25"/>
  <c r="S207" i="25" s="1"/>
  <c r="X239" i="25"/>
  <c r="Q239" i="25"/>
  <c r="X297" i="25"/>
  <c r="Q297" i="25"/>
  <c r="Y47" i="25"/>
  <c r="R47" i="25"/>
  <c r="S47" i="25" s="1"/>
  <c r="X56" i="25"/>
  <c r="Q56" i="25"/>
  <c r="X65" i="25"/>
  <c r="Q65" i="25"/>
  <c r="R79" i="25"/>
  <c r="S79" i="25" s="1"/>
  <c r="Y79" i="25"/>
  <c r="Q88" i="25"/>
  <c r="X88" i="25"/>
  <c r="X97" i="25"/>
  <c r="Q97" i="25"/>
  <c r="Y111" i="25"/>
  <c r="R111" i="25"/>
  <c r="S111" i="25" s="1"/>
  <c r="R121" i="25"/>
  <c r="S121" i="25" s="1"/>
  <c r="Y121" i="25"/>
  <c r="Y137" i="25"/>
  <c r="R137" i="25"/>
  <c r="S137" i="25" s="1"/>
  <c r="R153" i="25"/>
  <c r="S153" i="25" s="1"/>
  <c r="Y153" i="25"/>
  <c r="Y169" i="25"/>
  <c r="R169" i="25"/>
  <c r="S169" i="25" s="1"/>
  <c r="Y185" i="25"/>
  <c r="R185" i="25"/>
  <c r="S185" i="25" s="1"/>
  <c r="R201" i="25"/>
  <c r="S201" i="25" s="1"/>
  <c r="Y201" i="25"/>
  <c r="Y217" i="25"/>
  <c r="R217" i="25"/>
  <c r="S217" i="25" s="1"/>
  <c r="Y256" i="25"/>
  <c r="R256" i="25"/>
  <c r="S256" i="25" s="1"/>
  <c r="Q50" i="25"/>
  <c r="X50" i="25"/>
  <c r="X66" i="25"/>
  <c r="Q66" i="25"/>
  <c r="X75" i="25"/>
  <c r="Q75" i="25"/>
  <c r="Y89" i="25"/>
  <c r="R89" i="25"/>
  <c r="S89" i="25" s="1"/>
  <c r="X98" i="25"/>
  <c r="Q98" i="25"/>
  <c r="X107" i="25"/>
  <c r="Q107" i="25"/>
  <c r="X123" i="25"/>
  <c r="Q123" i="25"/>
  <c r="X139" i="25"/>
  <c r="Q139" i="25"/>
  <c r="X155" i="25"/>
  <c r="Q155" i="25"/>
  <c r="Q171" i="25"/>
  <c r="X171" i="25"/>
  <c r="Q187" i="25"/>
  <c r="X187" i="25"/>
  <c r="X203" i="25"/>
  <c r="Q203" i="25"/>
  <c r="Q219" i="25"/>
  <c r="X219" i="25"/>
  <c r="Y237" i="25"/>
  <c r="R237" i="25"/>
  <c r="S237" i="25" s="1"/>
  <c r="R327" i="25"/>
  <c r="S327" i="25" s="1"/>
  <c r="Y327" i="25"/>
  <c r="R36" i="25"/>
  <c r="S36" i="25" s="1"/>
  <c r="Y36" i="25"/>
  <c r="R44" i="25"/>
  <c r="S44" i="25" s="1"/>
  <c r="Y44" i="25"/>
  <c r="Y52" i="25"/>
  <c r="R52" i="25"/>
  <c r="S52" i="25" s="1"/>
  <c r="R60" i="25"/>
  <c r="S60" i="25" s="1"/>
  <c r="Y60" i="25"/>
  <c r="R68" i="25"/>
  <c r="S68" i="25" s="1"/>
  <c r="Y68" i="25"/>
  <c r="Y76" i="25"/>
  <c r="R76" i="25"/>
  <c r="S76" i="25" s="1"/>
  <c r="Y84" i="25"/>
  <c r="R84" i="25"/>
  <c r="S84" i="25" s="1"/>
  <c r="Y92" i="25"/>
  <c r="R92" i="25"/>
  <c r="S92" i="25" s="1"/>
  <c r="Y100" i="25"/>
  <c r="R100" i="25"/>
  <c r="S100" i="25" s="1"/>
  <c r="R108" i="25"/>
  <c r="S108" i="25" s="1"/>
  <c r="Y108" i="25"/>
  <c r="Y116" i="25"/>
  <c r="R116" i="25"/>
  <c r="S116" i="25" s="1"/>
  <c r="Y124" i="25"/>
  <c r="R124" i="25"/>
  <c r="S124" i="25" s="1"/>
  <c r="Y132" i="25"/>
  <c r="R132" i="25"/>
  <c r="S132" i="25" s="1"/>
  <c r="R140" i="25"/>
  <c r="S140" i="25" s="1"/>
  <c r="Y140" i="25"/>
  <c r="Y148" i="25"/>
  <c r="R148" i="25"/>
  <c r="S148" i="25" s="1"/>
  <c r="R156" i="25"/>
  <c r="S156" i="25" s="1"/>
  <c r="Y156" i="25"/>
  <c r="R164" i="25"/>
  <c r="S164" i="25" s="1"/>
  <c r="Y164" i="25"/>
  <c r="R172" i="25"/>
  <c r="S172" i="25" s="1"/>
  <c r="Y172" i="25"/>
  <c r="Y180" i="25"/>
  <c r="R180" i="25"/>
  <c r="S180" i="25" s="1"/>
  <c r="Y188" i="25"/>
  <c r="R188" i="25"/>
  <c r="S188" i="25" s="1"/>
  <c r="Y196" i="25"/>
  <c r="R196" i="25"/>
  <c r="S196" i="25" s="1"/>
  <c r="R204" i="25"/>
  <c r="S204" i="25" s="1"/>
  <c r="Y204" i="25"/>
  <c r="R212" i="25"/>
  <c r="S212" i="25" s="1"/>
  <c r="Y212" i="25"/>
  <c r="Y220" i="25"/>
  <c r="R220" i="25"/>
  <c r="S220" i="25" s="1"/>
  <c r="X229" i="25"/>
  <c r="Q229" i="25"/>
  <c r="Y238" i="25"/>
  <c r="R238" i="25"/>
  <c r="S238" i="25" s="1"/>
  <c r="Y251" i="25"/>
  <c r="R251" i="25"/>
  <c r="S251" i="25" s="1"/>
  <c r="X261" i="25"/>
  <c r="Q261" i="25"/>
  <c r="Y287" i="25"/>
  <c r="R287" i="25"/>
  <c r="S287" i="25" s="1"/>
  <c r="X320" i="25"/>
  <c r="Q320" i="25"/>
  <c r="Y225" i="25"/>
  <c r="R225" i="25"/>
  <c r="S225" i="25" s="1"/>
  <c r="Y234" i="25"/>
  <c r="R234" i="25"/>
  <c r="S234" i="25" s="1"/>
  <c r="Y247" i="25"/>
  <c r="R247" i="25"/>
  <c r="S247" i="25" s="1"/>
  <c r="Q257" i="25"/>
  <c r="X257" i="25"/>
  <c r="Y276" i="25"/>
  <c r="R276" i="25"/>
  <c r="S276" i="25" s="1"/>
  <c r="Y335" i="25"/>
  <c r="R335" i="25"/>
  <c r="S335" i="25" s="1"/>
  <c r="Q122" i="25"/>
  <c r="X122" i="25"/>
  <c r="X130" i="25"/>
  <c r="Q130" i="25"/>
  <c r="X138" i="25"/>
  <c r="Q138" i="25"/>
  <c r="X146" i="25"/>
  <c r="Q146" i="25"/>
  <c r="Q154" i="25"/>
  <c r="X154" i="25"/>
  <c r="X162" i="25"/>
  <c r="Q162" i="25"/>
  <c r="X170" i="25"/>
  <c r="Q170" i="25"/>
  <c r="X178" i="25"/>
  <c r="Q178" i="25"/>
  <c r="Q186" i="25"/>
  <c r="X186" i="25"/>
  <c r="X194" i="25"/>
  <c r="Q194" i="25"/>
  <c r="X202" i="25"/>
  <c r="Q202" i="25"/>
  <c r="X210" i="25"/>
  <c r="Q210" i="25"/>
  <c r="Q218" i="25"/>
  <c r="X218" i="25"/>
  <c r="Q227" i="25"/>
  <c r="X227" i="25"/>
  <c r="Y236" i="25"/>
  <c r="R236" i="25"/>
  <c r="S236" i="25" s="1"/>
  <c r="Y249" i="25"/>
  <c r="R249" i="25"/>
  <c r="S249" i="25" s="1"/>
  <c r="Q259" i="25"/>
  <c r="X259" i="25"/>
  <c r="R279" i="25"/>
  <c r="S279" i="25" s="1"/>
  <c r="Y279" i="25"/>
  <c r="X312" i="25"/>
  <c r="Q312" i="25"/>
  <c r="Q226" i="25"/>
  <c r="X226" i="25"/>
  <c r="Q234" i="25"/>
  <c r="X234" i="25"/>
  <c r="Q242" i="25"/>
  <c r="X242" i="25"/>
  <c r="X250" i="25"/>
  <c r="Q250" i="25"/>
  <c r="X258" i="25"/>
  <c r="Q258" i="25"/>
  <c r="X266" i="25"/>
  <c r="Q266" i="25"/>
  <c r="X274" i="25"/>
  <c r="Q274" i="25"/>
  <c r="R285" i="25"/>
  <c r="S285" i="25" s="1"/>
  <c r="Y285" i="25"/>
  <c r="X294" i="25"/>
  <c r="Q294" i="25"/>
  <c r="X303" i="25"/>
  <c r="Q303" i="25"/>
  <c r="R317" i="25"/>
  <c r="S317" i="25" s="1"/>
  <c r="Y317" i="25"/>
  <c r="X326" i="25"/>
  <c r="Q326" i="25"/>
  <c r="X335" i="25"/>
  <c r="Q335" i="25"/>
  <c r="X344" i="25"/>
  <c r="Q344" i="25"/>
  <c r="Q352" i="25"/>
  <c r="X352" i="25"/>
  <c r="X360" i="25"/>
  <c r="Q360" i="25"/>
  <c r="Y393" i="25"/>
  <c r="R393" i="25"/>
  <c r="S393" i="25" s="1"/>
  <c r="X505" i="25"/>
  <c r="Q505" i="25"/>
  <c r="X271" i="25"/>
  <c r="Q271" i="25"/>
  <c r="Y281" i="25"/>
  <c r="R281" i="25"/>
  <c r="S281" i="25" s="1"/>
  <c r="X290" i="25"/>
  <c r="Q290" i="25"/>
  <c r="X299" i="25"/>
  <c r="Q299" i="25"/>
  <c r="Y313" i="25"/>
  <c r="R313" i="25"/>
  <c r="S313" i="25" s="1"/>
  <c r="Q322" i="25"/>
  <c r="X322" i="25"/>
  <c r="X331" i="25"/>
  <c r="Q331" i="25"/>
  <c r="R345" i="25"/>
  <c r="S345" i="25" s="1"/>
  <c r="Y345" i="25"/>
  <c r="Y353" i="25"/>
  <c r="R353" i="25"/>
  <c r="S353" i="25" s="1"/>
  <c r="Y361" i="25"/>
  <c r="R361" i="25"/>
  <c r="S361" i="25" s="1"/>
  <c r="Y377" i="25"/>
  <c r="R377" i="25"/>
  <c r="S377" i="25" s="1"/>
  <c r="Y267" i="25"/>
  <c r="R267" i="25"/>
  <c r="S267" i="25" s="1"/>
  <c r="R275" i="25"/>
  <c r="S275" i="25" s="1"/>
  <c r="Y275" i="25"/>
  <c r="Q285" i="25"/>
  <c r="X285" i="25"/>
  <c r="Y299" i="25"/>
  <c r="R299" i="25"/>
  <c r="S299" i="25" s="1"/>
  <c r="X308" i="25"/>
  <c r="Q308" i="25"/>
  <c r="Q317" i="25"/>
  <c r="X317" i="25"/>
  <c r="Y331" i="25"/>
  <c r="R331" i="25"/>
  <c r="S331" i="25" s="1"/>
  <c r="X340" i="25"/>
  <c r="Q340" i="25"/>
  <c r="X386" i="25"/>
  <c r="Q386" i="25"/>
  <c r="Q349" i="25"/>
  <c r="X349" i="25"/>
  <c r="Q357" i="25"/>
  <c r="X357" i="25"/>
  <c r="X365" i="25"/>
  <c r="Q365" i="25"/>
  <c r="Q373" i="25"/>
  <c r="X373" i="25"/>
  <c r="R383" i="25"/>
  <c r="S383" i="25" s="1"/>
  <c r="Y383" i="25"/>
  <c r="X392" i="25"/>
  <c r="Q392" i="25"/>
  <c r="R420" i="25"/>
  <c r="S420" i="25" s="1"/>
  <c r="Y420" i="25"/>
  <c r="X366" i="25"/>
  <c r="Q366" i="25"/>
  <c r="Q374" i="25"/>
  <c r="X374" i="25"/>
  <c r="R387" i="25"/>
  <c r="S387" i="25" s="1"/>
  <c r="Y387" i="25"/>
  <c r="X396" i="25"/>
  <c r="Q396" i="25"/>
  <c r="Q406" i="25"/>
  <c r="X406" i="25"/>
  <c r="R284" i="25"/>
  <c r="S284" i="25" s="1"/>
  <c r="Y284" i="25"/>
  <c r="R292" i="25"/>
  <c r="S292" i="25" s="1"/>
  <c r="Y292" i="25"/>
  <c r="R300" i="25"/>
  <c r="S300" i="25" s="1"/>
  <c r="Y300" i="25"/>
  <c r="Y308" i="25"/>
  <c r="R308" i="25"/>
  <c r="S308" i="25" s="1"/>
  <c r="Y316" i="25"/>
  <c r="R316" i="25"/>
  <c r="S316" i="25" s="1"/>
  <c r="Y324" i="25"/>
  <c r="R324" i="25"/>
  <c r="S324" i="25" s="1"/>
  <c r="R332" i="25"/>
  <c r="S332" i="25" s="1"/>
  <c r="Y332" i="25"/>
  <c r="Y340" i="25"/>
  <c r="R340" i="25"/>
  <c r="S340" i="25" s="1"/>
  <c r="Y348" i="25"/>
  <c r="R348" i="25"/>
  <c r="S348" i="25" s="1"/>
  <c r="R356" i="25"/>
  <c r="S356" i="25" s="1"/>
  <c r="Y356" i="25"/>
  <c r="Y364" i="25"/>
  <c r="R364" i="25"/>
  <c r="S364" i="25" s="1"/>
  <c r="Y372" i="25"/>
  <c r="R372" i="25"/>
  <c r="S372" i="25" s="1"/>
  <c r="Q382" i="25"/>
  <c r="X382" i="25"/>
  <c r="Q391" i="25"/>
  <c r="X391" i="25"/>
  <c r="Q400" i="25"/>
  <c r="X400" i="25"/>
  <c r="Y458" i="25"/>
  <c r="R458" i="25"/>
  <c r="S458" i="25" s="1"/>
  <c r="Y382" i="25"/>
  <c r="R382" i="25"/>
  <c r="S382" i="25" s="1"/>
  <c r="Y390" i="25"/>
  <c r="R390" i="25"/>
  <c r="S390" i="25" s="1"/>
  <c r="Y398" i="25"/>
  <c r="R398" i="25"/>
  <c r="S398" i="25" s="1"/>
  <c r="R410" i="25"/>
  <c r="S410" i="25" s="1"/>
  <c r="Y410" i="25"/>
  <c r="X419" i="25"/>
  <c r="Q419" i="25"/>
  <c r="R436" i="25"/>
  <c r="S436" i="25" s="1"/>
  <c r="Y436" i="25"/>
  <c r="Q481" i="25"/>
  <c r="X481" i="25"/>
  <c r="Q408" i="25"/>
  <c r="X408" i="25"/>
  <c r="Y422" i="25"/>
  <c r="R422" i="25"/>
  <c r="S422" i="25" s="1"/>
  <c r="R432" i="25"/>
  <c r="S432" i="25" s="1"/>
  <c r="Y432" i="25"/>
  <c r="Q465" i="25"/>
  <c r="X465" i="25"/>
  <c r="Q497" i="25"/>
  <c r="X497" i="25"/>
  <c r="Q402" i="25"/>
  <c r="X402" i="25"/>
  <c r="Y416" i="25"/>
  <c r="R416" i="25"/>
  <c r="S416" i="25" s="1"/>
  <c r="X425" i="25"/>
  <c r="Q425" i="25"/>
  <c r="Y438" i="25"/>
  <c r="R438" i="25"/>
  <c r="S438" i="25" s="1"/>
  <c r="X473" i="25"/>
  <c r="Q473" i="25"/>
  <c r="Y517" i="25"/>
  <c r="R517" i="25"/>
  <c r="S517" i="25" s="1"/>
  <c r="Q436" i="25"/>
  <c r="X436" i="25"/>
  <c r="X444" i="25"/>
  <c r="Q444" i="25"/>
  <c r="Q452" i="25"/>
  <c r="X452" i="25"/>
  <c r="X460" i="25"/>
  <c r="Q460" i="25"/>
  <c r="Q471" i="25"/>
  <c r="X471" i="25"/>
  <c r="Y480" i="25"/>
  <c r="R480" i="25"/>
  <c r="S480" i="25" s="1"/>
  <c r="R514" i="25"/>
  <c r="S514" i="25" s="1"/>
  <c r="Y514" i="25"/>
  <c r="X435" i="25"/>
  <c r="Q435" i="25"/>
  <c r="Q443" i="25"/>
  <c r="X443" i="25"/>
  <c r="X451" i="25"/>
  <c r="Q451" i="25"/>
  <c r="Q459" i="25"/>
  <c r="X459" i="25"/>
  <c r="X467" i="25"/>
  <c r="Q467" i="25"/>
  <c r="Y476" i="25"/>
  <c r="R476" i="25"/>
  <c r="S476" i="25" s="1"/>
  <c r="Q503" i="25"/>
  <c r="X503" i="25"/>
  <c r="R403" i="25"/>
  <c r="S403" i="25" s="1"/>
  <c r="Y403" i="25"/>
  <c r="R411" i="25"/>
  <c r="S411" i="25" s="1"/>
  <c r="Y411" i="25"/>
  <c r="R419" i="25"/>
  <c r="S419" i="25" s="1"/>
  <c r="Y419" i="25"/>
  <c r="Y427" i="25"/>
  <c r="R427" i="25"/>
  <c r="S427" i="25" s="1"/>
  <c r="R435" i="25"/>
  <c r="S435" i="25" s="1"/>
  <c r="Y435" i="25"/>
  <c r="Y443" i="25"/>
  <c r="R443" i="25"/>
  <c r="S443" i="25" s="1"/>
  <c r="R451" i="25"/>
  <c r="S451" i="25" s="1"/>
  <c r="Y451" i="25"/>
  <c r="Y459" i="25"/>
  <c r="R459" i="25"/>
  <c r="S459" i="25" s="1"/>
  <c r="X469" i="25"/>
  <c r="Q469" i="25"/>
  <c r="R478" i="25"/>
  <c r="S478" i="25" s="1"/>
  <c r="Y478" i="25"/>
  <c r="X501" i="25"/>
  <c r="Q501" i="25"/>
  <c r="Y488" i="25"/>
  <c r="R488" i="25"/>
  <c r="S488" i="25" s="1"/>
  <c r="R496" i="25"/>
  <c r="S496" i="25" s="1"/>
  <c r="Y496" i="25"/>
  <c r="Y504" i="25"/>
  <c r="R504" i="25"/>
  <c r="S504" i="25" s="1"/>
  <c r="R512" i="25"/>
  <c r="S512" i="25" s="1"/>
  <c r="Y512" i="25"/>
  <c r="Q522" i="25"/>
  <c r="X522" i="25"/>
  <c r="Y535" i="25"/>
  <c r="R535" i="25"/>
  <c r="S535" i="25" s="1"/>
  <c r="Y489" i="25"/>
  <c r="R489" i="25"/>
  <c r="S489" i="25" s="1"/>
  <c r="R497" i="25"/>
  <c r="S497" i="25" s="1"/>
  <c r="Y497" i="25"/>
  <c r="R505" i="25"/>
  <c r="S505" i="25" s="1"/>
  <c r="Y505" i="25"/>
  <c r="Y516" i="25"/>
  <c r="R516" i="25"/>
  <c r="S516" i="25" s="1"/>
  <c r="Q464" i="25"/>
  <c r="X464" i="25"/>
  <c r="X472" i="25"/>
  <c r="Q472" i="25"/>
  <c r="X480" i="25"/>
  <c r="Q480" i="25"/>
  <c r="X488" i="25"/>
  <c r="Q488" i="25"/>
  <c r="X496" i="25"/>
  <c r="Q496" i="25"/>
  <c r="Q504" i="25"/>
  <c r="X504" i="25"/>
  <c r="X512" i="25"/>
  <c r="Q512" i="25"/>
  <c r="Y521" i="25"/>
  <c r="R521" i="25"/>
  <c r="S521" i="25" s="1"/>
  <c r="X513" i="25"/>
  <c r="Q513" i="25"/>
  <c r="Q521" i="25"/>
  <c r="X521" i="25"/>
  <c r="Y528" i="25"/>
  <c r="R528" i="25"/>
  <c r="S528" i="25" s="1"/>
  <c r="X539" i="25"/>
  <c r="Q539" i="25"/>
  <c r="X524" i="25"/>
  <c r="Q524" i="25"/>
  <c r="R537" i="25"/>
  <c r="S537" i="25" s="1"/>
  <c r="Y537" i="25"/>
  <c r="Y559" i="25"/>
  <c r="R559" i="25"/>
  <c r="S559" i="25" s="1"/>
  <c r="X525" i="25"/>
  <c r="Q525" i="25"/>
  <c r="Y534" i="25"/>
  <c r="R534" i="25"/>
  <c r="S534" i="25" s="1"/>
  <c r="Y542" i="25"/>
  <c r="R542" i="25"/>
  <c r="S542" i="25" s="1"/>
  <c r="Y550" i="25"/>
  <c r="R550" i="25"/>
  <c r="S550" i="25" s="1"/>
  <c r="Y557" i="25"/>
  <c r="R557" i="25"/>
  <c r="S557" i="25" s="1"/>
  <c r="X566" i="25"/>
  <c r="Q566" i="25"/>
  <c r="Y539" i="25"/>
  <c r="R539" i="25"/>
  <c r="S539" i="25" s="1"/>
  <c r="Y547" i="25"/>
  <c r="R547" i="25"/>
  <c r="S547" i="25" s="1"/>
  <c r="R555" i="25"/>
  <c r="S555" i="25" s="1"/>
  <c r="Y555" i="25"/>
  <c r="Q570" i="25"/>
  <c r="X570" i="25"/>
  <c r="X532" i="25"/>
  <c r="Q532" i="25"/>
  <c r="X540" i="25"/>
  <c r="Q540" i="25"/>
  <c r="X548" i="25"/>
  <c r="Q548" i="25"/>
  <c r="X556" i="25"/>
  <c r="Q556" i="25"/>
  <c r="X568" i="25"/>
  <c r="Q568" i="25"/>
  <c r="Y569" i="25"/>
  <c r="R569" i="25"/>
  <c r="S569" i="25" s="1"/>
  <c r="Q578" i="25"/>
  <c r="X578" i="25"/>
  <c r="R566" i="25"/>
  <c r="S566" i="25" s="1"/>
  <c r="Y566" i="25"/>
  <c r="Y574" i="25"/>
  <c r="R574" i="25"/>
  <c r="S574" i="25" s="1"/>
  <c r="Y583" i="25"/>
  <c r="R583" i="25"/>
  <c r="S583" i="25" s="1"/>
  <c r="X559" i="25"/>
  <c r="Q559" i="25"/>
  <c r="Q567" i="25"/>
  <c r="X567" i="25"/>
  <c r="X575" i="25"/>
  <c r="Q575" i="25"/>
  <c r="Y612" i="25"/>
  <c r="R612" i="25"/>
  <c r="S612" i="25" s="1"/>
  <c r="Q583" i="25"/>
  <c r="X583" i="25"/>
  <c r="X591" i="25"/>
  <c r="Q591" i="25"/>
  <c r="X586" i="25"/>
  <c r="Q586" i="25"/>
  <c r="Q593" i="25"/>
  <c r="X593" i="25"/>
  <c r="Y586" i="25"/>
  <c r="R586" i="25"/>
  <c r="S586" i="25" s="1"/>
  <c r="X595" i="25"/>
  <c r="Q595" i="25"/>
  <c r="R593" i="25"/>
  <c r="S593" i="25" s="1"/>
  <c r="Y593" i="25"/>
  <c r="Y601" i="25"/>
  <c r="R601" i="25"/>
  <c r="S601" i="25" s="1"/>
  <c r="Y608" i="25"/>
  <c r="R608" i="25"/>
  <c r="S608" i="25" s="1"/>
  <c r="Y604" i="25"/>
  <c r="R604" i="25"/>
  <c r="S604" i="25" s="1"/>
  <c r="X599" i="25"/>
  <c r="Q599" i="25"/>
  <c r="X608" i="25"/>
  <c r="Q608" i="25"/>
  <c r="X611" i="25"/>
  <c r="Q611" i="25"/>
  <c r="R613" i="25"/>
  <c r="S613" i="25" s="1"/>
  <c r="Y613" i="25"/>
  <c r="Y592" i="17"/>
  <c r="Y516" i="17"/>
  <c r="R524" i="17"/>
  <c r="S524" i="17" s="1"/>
  <c r="Q129" i="17"/>
  <c r="U129" i="17" s="1"/>
  <c r="Q297" i="17"/>
  <c r="U297" i="17" s="1"/>
  <c r="Y138" i="17"/>
  <c r="X36" i="17"/>
  <c r="Q345" i="17"/>
  <c r="U345" i="17" s="1"/>
  <c r="X110" i="17"/>
  <c r="Q263" i="17"/>
  <c r="U263" i="17" s="1"/>
  <c r="Y467" i="17"/>
  <c r="Y45" i="17"/>
  <c r="Y40" i="17"/>
  <c r="X221" i="17"/>
  <c r="Q200" i="17"/>
  <c r="U200" i="17" s="1"/>
  <c r="X151" i="17"/>
  <c r="X209" i="17"/>
  <c r="Q270" i="17"/>
  <c r="U270" i="17" s="1"/>
  <c r="Y217" i="17"/>
  <c r="X435" i="17"/>
  <c r="X350" i="17"/>
  <c r="Y429" i="17"/>
  <c r="X402" i="17"/>
  <c r="Q52" i="17"/>
  <c r="U52" i="17" s="1"/>
  <c r="Q538" i="17"/>
  <c r="U538" i="17" s="1"/>
  <c r="X147" i="17"/>
  <c r="Y482" i="17"/>
  <c r="Y355" i="17"/>
  <c r="Y393" i="17"/>
  <c r="X128" i="17"/>
  <c r="X196" i="17"/>
  <c r="Y306" i="17"/>
  <c r="Q335" i="17"/>
  <c r="U335" i="17" s="1"/>
  <c r="R384" i="17"/>
  <c r="S384" i="17" s="1"/>
  <c r="X138" i="17"/>
  <c r="X217" i="17"/>
  <c r="X572" i="17"/>
  <c r="X43" i="17"/>
  <c r="Y423" i="17"/>
  <c r="X560" i="17"/>
  <c r="Y283" i="17"/>
  <c r="Y19" i="17"/>
  <c r="Q534" i="17"/>
  <c r="U534" i="17" s="1"/>
  <c r="Y362" i="17"/>
  <c r="Y233" i="17"/>
  <c r="X79" i="17"/>
  <c r="X477" i="17"/>
  <c r="X505" i="17"/>
  <c r="X401" i="17"/>
  <c r="Y455" i="17"/>
  <c r="X321" i="17"/>
  <c r="Y224" i="17"/>
  <c r="X423" i="17"/>
  <c r="X364" i="17"/>
  <c r="Y342" i="17"/>
  <c r="X172" i="17"/>
  <c r="Y84" i="17"/>
  <c r="X225" i="17"/>
  <c r="Y434" i="17"/>
  <c r="Y549" i="17"/>
  <c r="X407" i="17"/>
  <c r="X417" i="17"/>
  <c r="Y483" i="17"/>
  <c r="X208" i="17"/>
  <c r="R366" i="17"/>
  <c r="S366" i="17" s="1"/>
  <c r="R602" i="17"/>
  <c r="S602" i="17" s="1"/>
  <c r="R101" i="17"/>
  <c r="S101" i="17" s="1"/>
  <c r="Q597" i="17"/>
  <c r="U597" i="17" s="1"/>
  <c r="R24" i="17"/>
  <c r="S24" i="17" s="1"/>
  <c r="Q58" i="17"/>
  <c r="U58" i="17" s="1"/>
  <c r="R537" i="17"/>
  <c r="S537" i="17" s="1"/>
  <c r="R294" i="17"/>
  <c r="S294" i="17" s="1"/>
  <c r="X323" i="17"/>
  <c r="Y479" i="17"/>
  <c r="Y98" i="17"/>
  <c r="X391" i="17"/>
  <c r="X135" i="17"/>
  <c r="X478" i="17"/>
  <c r="Y433" i="17"/>
  <c r="Y507" i="17"/>
  <c r="X584" i="17"/>
  <c r="X70" i="17"/>
  <c r="Y331" i="17"/>
  <c r="X465" i="17"/>
  <c r="X539" i="17"/>
  <c r="Y200" i="17"/>
  <c r="Y275" i="17"/>
  <c r="X235" i="17"/>
  <c r="X552" i="17"/>
  <c r="X304" i="17"/>
  <c r="X74" i="17"/>
  <c r="X161" i="17"/>
  <c r="Y49" i="17"/>
  <c r="X312" i="17"/>
  <c r="X499" i="17"/>
  <c r="X277" i="17"/>
  <c r="Y565" i="17"/>
  <c r="X56" i="17"/>
  <c r="R115" i="17"/>
  <c r="S115" i="17" s="1"/>
  <c r="R255" i="17"/>
  <c r="S255" i="17" s="1"/>
  <c r="R527" i="17"/>
  <c r="S527" i="17" s="1"/>
  <c r="Q576" i="17"/>
  <c r="U576" i="17" s="1"/>
  <c r="Q93" i="17"/>
  <c r="U93" i="17" s="1"/>
  <c r="Y62" i="17"/>
  <c r="Y488" i="17"/>
  <c r="Y104" i="17"/>
  <c r="X579" i="17"/>
  <c r="X311" i="17"/>
  <c r="Y504" i="17"/>
  <c r="X40" i="17"/>
  <c r="Y518" i="17"/>
  <c r="X140" i="17"/>
  <c r="Y99" i="17"/>
  <c r="X120" i="17"/>
  <c r="Y252" i="17"/>
  <c r="X122" i="17"/>
  <c r="Y25" i="17"/>
  <c r="X371" i="17"/>
  <c r="Y230" i="17"/>
  <c r="X237" i="17"/>
  <c r="X116" i="17"/>
  <c r="Y103" i="17"/>
  <c r="X356" i="17"/>
  <c r="X306" i="17"/>
  <c r="Y178" i="17"/>
  <c r="Y376" i="17"/>
  <c r="Y81" i="17"/>
  <c r="X555" i="17"/>
  <c r="Q219" i="17"/>
  <c r="U219" i="17" s="1"/>
  <c r="R162" i="17"/>
  <c r="S162" i="17" s="1"/>
  <c r="Q485" i="17"/>
  <c r="U485" i="17" s="1"/>
  <c r="R253" i="17"/>
  <c r="S253" i="17" s="1"/>
  <c r="Y295" i="17"/>
  <c r="X283" i="17"/>
  <c r="Y130" i="17"/>
  <c r="Y167" i="17"/>
  <c r="R443" i="17"/>
  <c r="S443" i="17" s="1"/>
  <c r="Y37" i="17"/>
  <c r="X95" i="17"/>
  <c r="X73" i="17"/>
  <c r="X422" i="17"/>
  <c r="Y354" i="17"/>
  <c r="Y431" i="17"/>
  <c r="Q211" i="17"/>
  <c r="U211" i="17" s="1"/>
  <c r="Q458" i="17"/>
  <c r="U458" i="17" s="1"/>
  <c r="R227" i="17"/>
  <c r="S227" i="17" s="1"/>
  <c r="X152" i="17"/>
  <c r="Y156" i="17"/>
  <c r="Y144" i="17"/>
  <c r="X344" i="17"/>
  <c r="X191" i="17"/>
  <c r="Y513" i="17"/>
  <c r="X124" i="17"/>
  <c r="Y561" i="17"/>
  <c r="X438" i="17"/>
  <c r="X68" i="17"/>
  <c r="Y302" i="17"/>
  <c r="R35" i="17"/>
  <c r="S35" i="17" s="1"/>
  <c r="R508" i="17"/>
  <c r="S508" i="17" s="1"/>
  <c r="Q484" i="17"/>
  <c r="U484" i="17" s="1"/>
  <c r="X454" i="17"/>
  <c r="X244" i="17"/>
  <c r="X179" i="17"/>
  <c r="Y460" i="17"/>
  <c r="Y169" i="17"/>
  <c r="Y127" i="17"/>
  <c r="X487" i="17"/>
  <c r="Y184" i="17"/>
  <c r="R608" i="17"/>
  <c r="S608" i="17" s="1"/>
  <c r="Q326" i="17"/>
  <c r="U326" i="17" s="1"/>
  <c r="Y57" i="17"/>
  <c r="R57" i="17"/>
  <c r="S57" i="17" s="1"/>
  <c r="Y445" i="17"/>
  <c r="R445" i="17"/>
  <c r="S445" i="17" s="1"/>
  <c r="Q242" i="17"/>
  <c r="U242" i="17" s="1"/>
  <c r="X242" i="17"/>
  <c r="Y80" i="17"/>
  <c r="R80" i="17"/>
  <c r="S80" i="17" s="1"/>
  <c r="R51" i="17"/>
  <c r="S51" i="17" s="1"/>
  <c r="Y51" i="17"/>
  <c r="R237" i="17"/>
  <c r="S237" i="17" s="1"/>
  <c r="Y237" i="17"/>
  <c r="Q567" i="17"/>
  <c r="U567" i="17" s="1"/>
  <c r="X567" i="17"/>
  <c r="Q213" i="17"/>
  <c r="U213" i="17" s="1"/>
  <c r="X213" i="17"/>
  <c r="Y526" i="17"/>
  <c r="R526" i="17"/>
  <c r="S526" i="17" s="1"/>
  <c r="X355" i="17"/>
  <c r="Q355" i="17"/>
  <c r="U355" i="17" s="1"/>
  <c r="X497" i="17"/>
  <c r="Q497" i="17"/>
  <c r="U497" i="17" s="1"/>
  <c r="R315" i="17"/>
  <c r="S315" i="17" s="1"/>
  <c r="Y315" i="17"/>
  <c r="Q500" i="17"/>
  <c r="U500" i="17" s="1"/>
  <c r="X500" i="17"/>
  <c r="Q569" i="17"/>
  <c r="U569" i="17" s="1"/>
  <c r="X569" i="17"/>
  <c r="R236" i="17"/>
  <c r="S236" i="17" s="1"/>
  <c r="Y236" i="17"/>
  <c r="R441" i="17"/>
  <c r="S441" i="17" s="1"/>
  <c r="Y441" i="17"/>
  <c r="X610" i="17"/>
  <c r="Q610" i="17"/>
  <c r="U610" i="17" s="1"/>
  <c r="Q398" i="17"/>
  <c r="U398" i="17" s="1"/>
  <c r="X398" i="17"/>
  <c r="R44" i="17"/>
  <c r="S44" i="17" s="1"/>
  <c r="Y44" i="17"/>
  <c r="R472" i="17"/>
  <c r="S472" i="17" s="1"/>
  <c r="Y472" i="17"/>
  <c r="Y401" i="17"/>
  <c r="R401" i="17"/>
  <c r="S401" i="17" s="1"/>
  <c r="R196" i="17"/>
  <c r="S196" i="17" s="1"/>
  <c r="Y196" i="17"/>
  <c r="R463" i="17"/>
  <c r="S463" i="17" s="1"/>
  <c r="Y463" i="17"/>
  <c r="Q289" i="17"/>
  <c r="U289" i="17" s="1"/>
  <c r="X289" i="17"/>
  <c r="R484" i="17"/>
  <c r="S484" i="17" s="1"/>
  <c r="Y484" i="17"/>
  <c r="Q393" i="17"/>
  <c r="U393" i="17" s="1"/>
  <c r="X393" i="17"/>
  <c r="X503" i="17"/>
  <c r="Q503" i="17"/>
  <c r="U503" i="17" s="1"/>
  <c r="Q86" i="17"/>
  <c r="AD86" i="17" s="1"/>
  <c r="AE86" i="17" s="1"/>
  <c r="X86" i="17"/>
  <c r="X440" i="17"/>
  <c r="Q440" i="17"/>
  <c r="U440" i="17" s="1"/>
  <c r="R466" i="17"/>
  <c r="S466" i="17" s="1"/>
  <c r="Y466" i="17"/>
  <c r="Q348" i="17"/>
  <c r="U348" i="17" s="1"/>
  <c r="X348" i="17"/>
  <c r="R74" i="17"/>
  <c r="S74" i="17" s="1"/>
  <c r="Y74" i="17"/>
  <c r="Q541" i="17"/>
  <c r="U541" i="17" s="1"/>
  <c r="X541" i="17"/>
  <c r="Y235" i="17"/>
  <c r="R235" i="17"/>
  <c r="S235" i="17" s="1"/>
  <c r="X300" i="17"/>
  <c r="Q300" i="17"/>
  <c r="U300" i="17" s="1"/>
  <c r="Q123" i="17"/>
  <c r="U123" i="17" s="1"/>
  <c r="X123" i="17"/>
  <c r="Q314" i="17"/>
  <c r="U314" i="17" s="1"/>
  <c r="X314" i="17"/>
  <c r="X212" i="17"/>
  <c r="Q212" i="17"/>
  <c r="U212" i="17" s="1"/>
  <c r="Q612" i="17"/>
  <c r="U612" i="17" s="1"/>
  <c r="X612" i="17"/>
  <c r="Q381" i="17"/>
  <c r="U381" i="17" s="1"/>
  <c r="X381" i="17"/>
  <c r="X320" i="17"/>
  <c r="Q320" i="17"/>
  <c r="U320" i="17" s="1"/>
  <c r="R269" i="17"/>
  <c r="S269" i="17" s="1"/>
  <c r="Y269" i="17"/>
  <c r="Q494" i="17"/>
  <c r="U494" i="17" s="1"/>
  <c r="X494" i="17"/>
  <c r="Y263" i="17"/>
  <c r="X385" i="17"/>
  <c r="X333" i="17"/>
  <c r="Y298" i="17"/>
  <c r="X535" i="17"/>
  <c r="Y500" i="17"/>
  <c r="R394" i="17"/>
  <c r="S394" i="17" s="1"/>
  <c r="R400" i="17"/>
  <c r="S400" i="17" s="1"/>
  <c r="Q310" i="17"/>
  <c r="U310" i="17" s="1"/>
  <c r="X394" i="17"/>
  <c r="R195" i="17"/>
  <c r="S195" i="17" s="1"/>
  <c r="R328" i="17"/>
  <c r="S328" i="17" s="1"/>
  <c r="X580" i="17"/>
  <c r="X252" i="17"/>
  <c r="Y422" i="17"/>
  <c r="X182" i="17"/>
  <c r="R206" i="17"/>
  <c r="S206" i="17" s="1"/>
  <c r="Y459" i="17"/>
  <c r="Y495" i="17"/>
  <c r="Y164" i="17"/>
  <c r="Y214" i="17"/>
  <c r="Y22" i="17"/>
  <c r="Y21" i="17"/>
  <c r="Y361" i="17"/>
  <c r="X199" i="17"/>
  <c r="X240" i="17"/>
  <c r="X295" i="17"/>
  <c r="X166" i="17"/>
  <c r="X561" i="17"/>
  <c r="Q24" i="17"/>
  <c r="U24" i="17" s="1"/>
  <c r="R572" i="17"/>
  <c r="S572" i="17" s="1"/>
  <c r="R222" i="17"/>
  <c r="S222" i="17" s="1"/>
  <c r="R552" i="17"/>
  <c r="S552" i="17" s="1"/>
  <c r="X315" i="17"/>
  <c r="Q315" i="17"/>
  <c r="U315" i="17" s="1"/>
  <c r="R323" i="17"/>
  <c r="S323" i="17" s="1"/>
  <c r="Y323" i="17"/>
  <c r="Q316" i="17"/>
  <c r="U316" i="17" s="1"/>
  <c r="X316" i="17"/>
  <c r="Q265" i="17"/>
  <c r="U265" i="17" s="1"/>
  <c r="X265" i="17"/>
  <c r="R32" i="17"/>
  <c r="S32" i="17" s="1"/>
  <c r="Y32" i="17"/>
  <c r="Y31" i="17"/>
  <c r="R31" i="17"/>
  <c r="S31" i="17" s="1"/>
  <c r="R135" i="17"/>
  <c r="S135" i="17" s="1"/>
  <c r="Y135" i="17"/>
  <c r="Q443" i="17"/>
  <c r="U443" i="17" s="1"/>
  <c r="X443" i="17"/>
  <c r="R146" i="17"/>
  <c r="S146" i="17" s="1"/>
  <c r="Y146" i="17"/>
  <c r="R314" i="17"/>
  <c r="S314" i="17" s="1"/>
  <c r="Y314" i="17"/>
  <c r="Q268" i="17"/>
  <c r="U268" i="17" s="1"/>
  <c r="X268" i="17"/>
  <c r="X502" i="17"/>
  <c r="Q502" i="17"/>
  <c r="U502" i="17" s="1"/>
  <c r="R93" i="17"/>
  <c r="S93" i="17" s="1"/>
  <c r="Y93" i="17"/>
  <c r="Y281" i="17"/>
  <c r="R281" i="17"/>
  <c r="S281" i="17" s="1"/>
  <c r="Q274" i="17"/>
  <c r="U274" i="17" s="1"/>
  <c r="X274" i="17"/>
  <c r="X573" i="17"/>
  <c r="Q573" i="17"/>
  <c r="U573" i="17" s="1"/>
  <c r="X132" i="17"/>
  <c r="Q132" i="17"/>
  <c r="U132" i="17" s="1"/>
  <c r="R559" i="17"/>
  <c r="S559" i="17" s="1"/>
  <c r="Y559" i="17"/>
  <c r="Q433" i="17"/>
  <c r="U433" i="17" s="1"/>
  <c r="X433" i="17"/>
  <c r="R54" i="17"/>
  <c r="S54" i="17" s="1"/>
  <c r="Y54" i="17"/>
  <c r="Q14" i="17"/>
  <c r="U14" i="17" s="1"/>
  <c r="X14" i="17"/>
  <c r="R345" i="17"/>
  <c r="S345" i="17" s="1"/>
  <c r="Y345" i="17"/>
  <c r="R114" i="17"/>
  <c r="S114" i="17" s="1"/>
  <c r="Y114" i="17"/>
  <c r="R411" i="17"/>
  <c r="S411" i="17" s="1"/>
  <c r="Y411" i="17"/>
  <c r="Y346" i="17"/>
  <c r="R346" i="17"/>
  <c r="S346" i="17" s="1"/>
  <c r="R494" i="17"/>
  <c r="S494" i="17" s="1"/>
  <c r="Y494" i="17"/>
  <c r="X236" i="17"/>
  <c r="Q236" i="17"/>
  <c r="U236" i="17" s="1"/>
  <c r="Y570" i="17"/>
  <c r="R570" i="17"/>
  <c r="S570" i="17" s="1"/>
  <c r="Q174" i="17"/>
  <c r="U174" i="17" s="1"/>
  <c r="X174" i="17"/>
  <c r="R359" i="17"/>
  <c r="S359" i="17" s="1"/>
  <c r="Y359" i="17"/>
  <c r="R102" i="17"/>
  <c r="S102" i="17" s="1"/>
  <c r="Y102" i="17"/>
  <c r="Q15" i="17"/>
  <c r="U15" i="17" s="1"/>
  <c r="X15" i="17"/>
  <c r="R63" i="17"/>
  <c r="S63" i="17" s="1"/>
  <c r="Y63" i="17"/>
  <c r="R250" i="17"/>
  <c r="S250" i="17" s="1"/>
  <c r="Y250" i="17"/>
  <c r="R347" i="17"/>
  <c r="S347" i="17" s="1"/>
  <c r="Y347" i="17"/>
  <c r="R597" i="17"/>
  <c r="S597" i="17" s="1"/>
  <c r="Y597" i="17"/>
  <c r="Q338" i="17"/>
  <c r="U338" i="17" s="1"/>
  <c r="X338" i="17"/>
  <c r="Q204" i="17"/>
  <c r="U204" i="17" s="1"/>
  <c r="X204" i="17"/>
  <c r="R372" i="17"/>
  <c r="S372" i="17" s="1"/>
  <c r="Y372" i="17"/>
  <c r="R512" i="17"/>
  <c r="S512" i="17" s="1"/>
  <c r="Y512" i="17"/>
  <c r="Y490" i="17"/>
  <c r="R490" i="17"/>
  <c r="S490" i="17" s="1"/>
  <c r="R560" i="17"/>
  <c r="S560" i="17" s="1"/>
  <c r="Y560" i="17"/>
  <c r="Q49" i="17"/>
  <c r="U49" i="17" s="1"/>
  <c r="X49" i="17"/>
  <c r="Y453" i="17"/>
  <c r="R453" i="17"/>
  <c r="S453" i="17" s="1"/>
  <c r="R97" i="17"/>
  <c r="S97" i="17" s="1"/>
  <c r="Y97" i="17"/>
  <c r="R344" i="17"/>
  <c r="S344" i="17" s="1"/>
  <c r="Y344" i="17"/>
  <c r="Q234" i="17"/>
  <c r="U234" i="17" s="1"/>
  <c r="X234" i="17"/>
  <c r="R581" i="17"/>
  <c r="S581" i="17" s="1"/>
  <c r="Y581" i="17"/>
  <c r="R189" i="17"/>
  <c r="S189" i="17" s="1"/>
  <c r="Y189" i="17"/>
  <c r="R266" i="17"/>
  <c r="S266" i="17" s="1"/>
  <c r="Y266" i="17"/>
  <c r="Q521" i="17"/>
  <c r="U521" i="17" s="1"/>
  <c r="X521" i="17"/>
  <c r="R497" i="17"/>
  <c r="S497" i="17" s="1"/>
  <c r="Y497" i="17"/>
  <c r="R292" i="17"/>
  <c r="S292" i="17" s="1"/>
  <c r="Y292" i="17"/>
  <c r="Q115" i="17"/>
  <c r="U115" i="17" s="1"/>
  <c r="X115" i="17"/>
  <c r="R75" i="17"/>
  <c r="S75" i="17" s="1"/>
  <c r="Y75" i="17"/>
  <c r="Q167" i="17"/>
  <c r="U167" i="17" s="1"/>
  <c r="X167" i="17"/>
  <c r="Q82" i="17"/>
  <c r="U82" i="17" s="1"/>
  <c r="X82" i="17"/>
  <c r="R335" i="17"/>
  <c r="S335" i="17" s="1"/>
  <c r="Y335" i="17"/>
  <c r="R503" i="17"/>
  <c r="S503" i="17" s="1"/>
  <c r="Y503" i="17"/>
  <c r="Q278" i="17"/>
  <c r="U278" i="17" s="1"/>
  <c r="X278" i="17"/>
  <c r="X352" i="17"/>
  <c r="Q352" i="17"/>
  <c r="U352" i="17" s="1"/>
  <c r="R535" i="17"/>
  <c r="S535" i="17" s="1"/>
  <c r="Y535" i="17"/>
  <c r="Q593" i="17"/>
  <c r="U593" i="17" s="1"/>
  <c r="X593" i="17"/>
  <c r="Q330" i="17"/>
  <c r="U330" i="17" s="1"/>
  <c r="X330" i="17"/>
  <c r="R529" i="17"/>
  <c r="S529" i="17" s="1"/>
  <c r="Y529" i="17"/>
  <c r="Q354" i="17"/>
  <c r="U354" i="17" s="1"/>
  <c r="X354" i="17"/>
  <c r="Y605" i="17"/>
  <c r="R605" i="17"/>
  <c r="S605" i="17" s="1"/>
  <c r="Q290" i="17"/>
  <c r="U290" i="17" s="1"/>
  <c r="X290" i="17"/>
  <c r="R131" i="17"/>
  <c r="S131" i="17" s="1"/>
  <c r="Y131" i="17"/>
  <c r="R26" i="17"/>
  <c r="S26" i="17" s="1"/>
  <c r="Y26" i="17"/>
  <c r="Q35" i="17"/>
  <c r="U35" i="17" s="1"/>
  <c r="X35" i="17"/>
  <c r="Q623" i="17"/>
  <c r="D633" i="17" s="1"/>
  <c r="X623" i="17"/>
  <c r="Q102" i="17"/>
  <c r="U102" i="17" s="1"/>
  <c r="X102" i="17"/>
  <c r="Y415" i="17"/>
  <c r="R415" i="17"/>
  <c r="S415" i="17" s="1"/>
  <c r="Q590" i="17"/>
  <c r="U590" i="17" s="1"/>
  <c r="X590" i="17"/>
  <c r="Q267" i="17"/>
  <c r="U267" i="17" s="1"/>
  <c r="X267" i="17"/>
  <c r="Q190" i="17"/>
  <c r="U190" i="17" s="1"/>
  <c r="X190" i="17"/>
  <c r="R318" i="17"/>
  <c r="S318" i="17" s="1"/>
  <c r="Y318" i="17"/>
  <c r="Q472" i="17"/>
  <c r="U472" i="17" s="1"/>
  <c r="X472" i="17"/>
  <c r="R498" i="17"/>
  <c r="S498" i="17" s="1"/>
  <c r="Y498" i="17"/>
  <c r="Q281" i="17"/>
  <c r="U281" i="17" s="1"/>
  <c r="X281" i="17"/>
  <c r="Q256" i="17"/>
  <c r="U256" i="17" s="1"/>
  <c r="X256" i="17"/>
  <c r="Q410" i="17"/>
  <c r="U410" i="17" s="1"/>
  <c r="X410" i="17"/>
  <c r="R444" i="17"/>
  <c r="S444" i="17" s="1"/>
  <c r="Y444" i="17"/>
  <c r="Q144" i="17"/>
  <c r="U144" i="17" s="1"/>
  <c r="X144" i="17"/>
  <c r="Q130" i="17"/>
  <c r="AD129" i="17" s="1"/>
  <c r="AE129" i="17" s="1"/>
  <c r="X130" i="17"/>
  <c r="R305" i="17"/>
  <c r="S305" i="17" s="1"/>
  <c r="Y305" i="17"/>
  <c r="R137" i="17"/>
  <c r="S137" i="17" s="1"/>
  <c r="Y137" i="17"/>
  <c r="R397" i="17"/>
  <c r="S397" i="17" s="1"/>
  <c r="Y397" i="17"/>
  <c r="Y163" i="17"/>
  <c r="R163" i="17"/>
  <c r="S163" i="17" s="1"/>
  <c r="Y34" i="17"/>
  <c r="R34" i="17"/>
  <c r="S34" i="17" s="1"/>
  <c r="R299" i="17"/>
  <c r="S299" i="17" s="1"/>
  <c r="Y299" i="17"/>
  <c r="Q137" i="17"/>
  <c r="U137" i="17" s="1"/>
  <c r="X137" i="17"/>
  <c r="R68" i="17"/>
  <c r="S68" i="17" s="1"/>
  <c r="Y68" i="17"/>
  <c r="Q114" i="17"/>
  <c r="U114" i="17" s="1"/>
  <c r="X114" i="17"/>
  <c r="Q121" i="17"/>
  <c r="U121" i="17" s="1"/>
  <c r="X121" i="17"/>
  <c r="Q455" i="17"/>
  <c r="U455" i="17" s="1"/>
  <c r="X455" i="17"/>
  <c r="R147" i="17"/>
  <c r="S147" i="17" s="1"/>
  <c r="Y147" i="17"/>
  <c r="Q173" i="17"/>
  <c r="U173" i="17" s="1"/>
  <c r="X173" i="17"/>
  <c r="Q159" i="17"/>
  <c r="U159" i="17" s="1"/>
  <c r="X159" i="17"/>
  <c r="Y50" i="17"/>
  <c r="R50" i="17"/>
  <c r="S50" i="17" s="1"/>
  <c r="R517" i="17"/>
  <c r="S517" i="17" s="1"/>
  <c r="Y517" i="17"/>
  <c r="R312" i="17"/>
  <c r="S312" i="17" s="1"/>
  <c r="Y312" i="17"/>
  <c r="R90" i="17"/>
  <c r="S90" i="17" s="1"/>
  <c r="Y90" i="17"/>
  <c r="R219" i="17"/>
  <c r="S219" i="17" s="1"/>
  <c r="Y219" i="17"/>
  <c r="Y264" i="17"/>
  <c r="R264" i="17"/>
  <c r="S264" i="17" s="1"/>
  <c r="R208" i="17"/>
  <c r="S208" i="17" s="1"/>
  <c r="Y208" i="17"/>
  <c r="R334" i="17"/>
  <c r="S334" i="17" s="1"/>
  <c r="Y334" i="17"/>
  <c r="Q90" i="17"/>
  <c r="U90" i="17" s="1"/>
  <c r="X90" i="17"/>
  <c r="Q475" i="17"/>
  <c r="U475" i="17" s="1"/>
  <c r="X475" i="17"/>
  <c r="R546" i="17"/>
  <c r="S546" i="17" s="1"/>
  <c r="Y546" i="17"/>
  <c r="X366" i="17"/>
  <c r="Q366" i="17"/>
  <c r="U366" i="17" s="1"/>
  <c r="R449" i="17"/>
  <c r="S449" i="17" s="1"/>
  <c r="Y449" i="17"/>
  <c r="R244" i="17"/>
  <c r="S244" i="17" s="1"/>
  <c r="Y244" i="17"/>
  <c r="Q517" i="17"/>
  <c r="U517" i="17" s="1"/>
  <c r="X517" i="17"/>
  <c r="R108" i="17"/>
  <c r="S108" i="17" s="1"/>
  <c r="Y108" i="17"/>
  <c r="R116" i="17"/>
  <c r="S116" i="17" s="1"/>
  <c r="Y116" i="17"/>
  <c r="R489" i="17"/>
  <c r="S489" i="17" s="1"/>
  <c r="Y489" i="17"/>
  <c r="R229" i="17"/>
  <c r="S229" i="17" s="1"/>
  <c r="Y229" i="17"/>
  <c r="R380" i="17"/>
  <c r="S380" i="17" s="1"/>
  <c r="Y380" i="17"/>
  <c r="Y276" i="17"/>
  <c r="Y446" i="17"/>
  <c r="Y547" i="17"/>
  <c r="Y418" i="17"/>
  <c r="Y297" i="17"/>
  <c r="X599" i="17"/>
  <c r="Y257" i="17"/>
  <c r="Y577" i="17"/>
  <c r="X585" i="17"/>
  <c r="Y438" i="17"/>
  <c r="X380" i="17"/>
  <c r="R20" i="17"/>
  <c r="S20" i="17" s="1"/>
  <c r="R339" i="17"/>
  <c r="S339" i="17" s="1"/>
  <c r="X45" i="17"/>
  <c r="X387" i="17"/>
  <c r="Y308" i="17"/>
  <c r="Y369" i="17"/>
  <c r="Y607" i="17"/>
  <c r="Y201" i="17"/>
  <c r="Y172" i="17"/>
  <c r="Y419" i="17"/>
  <c r="X233" i="17"/>
  <c r="X389" i="17"/>
  <c r="X38" i="17"/>
  <c r="Y404" i="17"/>
  <c r="X414" i="17"/>
  <c r="Y96" i="17"/>
  <c r="X169" i="17"/>
  <c r="X171" i="17"/>
  <c r="X526" i="17"/>
  <c r="X145" i="17"/>
  <c r="Y485" i="17"/>
  <c r="R480" i="17"/>
  <c r="S480" i="17" s="1"/>
  <c r="R213" i="17"/>
  <c r="S213" i="17" s="1"/>
  <c r="Q488" i="17"/>
  <c r="U488" i="17" s="1"/>
  <c r="Q586" i="17"/>
  <c r="U586" i="17" s="1"/>
  <c r="X586" i="17"/>
  <c r="X301" i="17"/>
  <c r="Q301" i="17"/>
  <c r="U301" i="17" s="1"/>
  <c r="R14" i="17"/>
  <c r="S14" i="17" s="1"/>
  <c r="Y14" i="17"/>
  <c r="Q568" i="17"/>
  <c r="U568" i="17" s="1"/>
  <c r="X568" i="17"/>
  <c r="Q195" i="17"/>
  <c r="U195" i="17" s="1"/>
  <c r="X195" i="17"/>
  <c r="Q528" i="17"/>
  <c r="U528" i="17" s="1"/>
  <c r="X528" i="17"/>
  <c r="Q470" i="17"/>
  <c r="U470" i="17" s="1"/>
  <c r="X470" i="17"/>
  <c r="Q67" i="17"/>
  <c r="U67" i="17" s="1"/>
  <c r="X67" i="17"/>
  <c r="Q463" i="17"/>
  <c r="U463" i="17" s="1"/>
  <c r="X463" i="17"/>
  <c r="Q27" i="17"/>
  <c r="U27" i="17" s="1"/>
  <c r="X27" i="17"/>
  <c r="R209" i="17"/>
  <c r="S209" i="17" s="1"/>
  <c r="Y209" i="17"/>
  <c r="Q224" i="17"/>
  <c r="U224" i="17" s="1"/>
  <c r="X224" i="17"/>
  <c r="R574" i="17"/>
  <c r="S574" i="17" s="1"/>
  <c r="Y574" i="17"/>
  <c r="Q481" i="17"/>
  <c r="U481" i="17" s="1"/>
  <c r="X481" i="17"/>
  <c r="X34" i="17"/>
  <c r="Q34" i="17"/>
  <c r="U34" i="17" s="1"/>
  <c r="Q197" i="17"/>
  <c r="U197" i="17" s="1"/>
  <c r="X197" i="17"/>
  <c r="R239" i="17"/>
  <c r="S239" i="17" s="1"/>
  <c r="Y239" i="17"/>
  <c r="Q415" i="17"/>
  <c r="U415" i="17" s="1"/>
  <c r="X415" i="17"/>
  <c r="X546" i="17"/>
  <c r="Q546" i="17"/>
  <c r="U546" i="17" s="1"/>
  <c r="Q530" i="17"/>
  <c r="U530" i="17" s="1"/>
  <c r="X530" i="17"/>
  <c r="R430" i="17"/>
  <c r="S430" i="17" s="1"/>
  <c r="Y430" i="17"/>
  <c r="R358" i="17"/>
  <c r="S358" i="17" s="1"/>
  <c r="Y358" i="17"/>
  <c r="Q168" i="17"/>
  <c r="U168" i="17" s="1"/>
  <c r="X168" i="17"/>
  <c r="R583" i="17"/>
  <c r="S583" i="17" s="1"/>
  <c r="Y583" i="17"/>
  <c r="Q146" i="17"/>
  <c r="U146" i="17" s="1"/>
  <c r="X146" i="17"/>
  <c r="Q431" i="17"/>
  <c r="U431" i="17" s="1"/>
  <c r="X431" i="17"/>
  <c r="Q588" i="17"/>
  <c r="U588" i="17" s="1"/>
  <c r="X588" i="17"/>
  <c r="R440" i="17"/>
  <c r="S440" i="17" s="1"/>
  <c r="Y440" i="17"/>
  <c r="R388" i="17"/>
  <c r="S388" i="17" s="1"/>
  <c r="Y388" i="17"/>
  <c r="R610" i="17"/>
  <c r="S610" i="17" s="1"/>
  <c r="Y610" i="17"/>
  <c r="R540" i="17"/>
  <c r="S540" i="17" s="1"/>
  <c r="Y540" i="17"/>
  <c r="R215" i="17"/>
  <c r="S215" i="17" s="1"/>
  <c r="Y215" i="17"/>
  <c r="Q37" i="17"/>
  <c r="U37" i="17" s="1"/>
  <c r="X37" i="17"/>
  <c r="X523" i="17"/>
  <c r="Q523" i="17"/>
  <c r="U523" i="17" s="1"/>
  <c r="R85" i="17"/>
  <c r="S85" i="17" s="1"/>
  <c r="Y85" i="17"/>
  <c r="Q72" i="17"/>
  <c r="U72" i="17" s="1"/>
  <c r="X72" i="17"/>
  <c r="R248" i="17"/>
  <c r="S248" i="17" s="1"/>
  <c r="Y248" i="17"/>
  <c r="Q108" i="17"/>
  <c r="U108" i="17" s="1"/>
  <c r="X108" i="17"/>
  <c r="Q29" i="17"/>
  <c r="U29" i="17" s="1"/>
  <c r="X29" i="17"/>
  <c r="Q441" i="17"/>
  <c r="U441" i="17" s="1"/>
  <c r="X441" i="17"/>
  <c r="R550" i="17"/>
  <c r="S550" i="17" s="1"/>
  <c r="Y550" i="17"/>
  <c r="R515" i="17"/>
  <c r="S515" i="17" s="1"/>
  <c r="Y515" i="17"/>
  <c r="Q571" i="17"/>
  <c r="U571" i="17" s="1"/>
  <c r="X571" i="17"/>
  <c r="R126" i="17"/>
  <c r="S126" i="17" s="1"/>
  <c r="Y126" i="17"/>
  <c r="R187" i="17"/>
  <c r="S187" i="17" s="1"/>
  <c r="Y187" i="17"/>
  <c r="Q493" i="17"/>
  <c r="U493" i="17" s="1"/>
  <c r="X493" i="17"/>
  <c r="R121" i="17"/>
  <c r="S121" i="17" s="1"/>
  <c r="Y121" i="17"/>
  <c r="Q403" i="17"/>
  <c r="U403" i="17" s="1"/>
  <c r="X403" i="17"/>
  <c r="R109" i="17"/>
  <c r="S109" i="17" s="1"/>
  <c r="Y109" i="17"/>
  <c r="R52" i="17"/>
  <c r="S52" i="17" s="1"/>
  <c r="Y52" i="17"/>
  <c r="Q232" i="17"/>
  <c r="U232" i="17" s="1"/>
  <c r="X232" i="17"/>
  <c r="R204" i="17"/>
  <c r="S204" i="17" s="1"/>
  <c r="Y204" i="17"/>
  <c r="R309" i="17"/>
  <c r="S309" i="17" s="1"/>
  <c r="Y309" i="17"/>
  <c r="Q482" i="17"/>
  <c r="U482" i="17" s="1"/>
  <c r="X482" i="17"/>
  <c r="Q218" i="17"/>
  <c r="U218" i="17" s="1"/>
  <c r="X218" i="17"/>
  <c r="R586" i="17"/>
  <c r="S586" i="17" s="1"/>
  <c r="Y586" i="17"/>
  <c r="Y72" i="17"/>
  <c r="X279" i="17"/>
  <c r="X343" i="17"/>
  <c r="X604" i="17"/>
  <c r="Y78" i="17"/>
  <c r="X59" i="17"/>
  <c r="Y481" i="17"/>
  <c r="Y88" i="17"/>
  <c r="Y576" i="17"/>
  <c r="X601" i="17"/>
  <c r="Y611" i="17"/>
  <c r="X239" i="17"/>
  <c r="X373" i="17"/>
  <c r="X388" i="17"/>
  <c r="X334" i="17"/>
  <c r="Y492" i="17"/>
  <c r="Y509" i="17"/>
  <c r="X92" i="17"/>
  <c r="X75" i="17"/>
  <c r="X400" i="17"/>
  <c r="X317" i="17"/>
  <c r="X260" i="17"/>
  <c r="R386" i="17"/>
  <c r="S386" i="17" s="1"/>
  <c r="Q162" i="17"/>
  <c r="U162" i="17" s="1"/>
  <c r="Q395" i="17"/>
  <c r="U395" i="17" s="1"/>
  <c r="X395" i="17"/>
  <c r="X529" i="17"/>
  <c r="Q529" i="17"/>
  <c r="U529" i="17" s="1"/>
  <c r="Y226" i="17"/>
  <c r="R226" i="17"/>
  <c r="S226" i="17" s="1"/>
  <c r="R197" i="17"/>
  <c r="S197" i="17" s="1"/>
  <c r="Y197" i="17"/>
  <c r="Q180" i="17"/>
  <c r="U180" i="17" s="1"/>
  <c r="X180" i="17"/>
  <c r="Y348" i="17"/>
  <c r="R348" i="17"/>
  <c r="S348" i="17" s="1"/>
  <c r="Q508" i="17"/>
  <c r="U508" i="17" s="1"/>
  <c r="X508" i="17"/>
  <c r="Q322" i="17"/>
  <c r="U322" i="17" s="1"/>
  <c r="X322" i="17"/>
  <c r="X294" i="17"/>
  <c r="Q294" i="17"/>
  <c r="U294" i="17" s="1"/>
  <c r="X359" i="17"/>
  <c r="Q359" i="17"/>
  <c r="U359" i="17" s="1"/>
  <c r="Y165" i="17"/>
  <c r="R165" i="17"/>
  <c r="S165" i="17" s="1"/>
  <c r="X420" i="17"/>
  <c r="Q420" i="17"/>
  <c r="U420" i="17" s="1"/>
  <c r="Q248" i="17"/>
  <c r="U248" i="17" s="1"/>
  <c r="X248" i="17"/>
  <c r="Q390" i="17"/>
  <c r="U390" i="17" s="1"/>
  <c r="X390" i="17"/>
  <c r="Y176" i="17"/>
  <c r="R176" i="17"/>
  <c r="S176" i="17" s="1"/>
  <c r="Y159" i="17"/>
  <c r="R159" i="17"/>
  <c r="S159" i="17" s="1"/>
  <c r="R133" i="17"/>
  <c r="S133" i="17" s="1"/>
  <c r="Y133" i="17"/>
  <c r="X136" i="17"/>
  <c r="Q136" i="17"/>
  <c r="U136" i="17" s="1"/>
  <c r="X284" i="17"/>
  <c r="Q284" i="17"/>
  <c r="U284" i="17" s="1"/>
  <c r="X358" i="17"/>
  <c r="Q358" i="17"/>
  <c r="U358" i="17" s="1"/>
  <c r="Y541" i="17"/>
  <c r="R541" i="17"/>
  <c r="S541" i="17" s="1"/>
  <c r="X512" i="17"/>
  <c r="Q512" i="17"/>
  <c r="U512" i="17" s="1"/>
  <c r="Y416" i="17"/>
  <c r="R416" i="17"/>
  <c r="S416" i="17" s="1"/>
  <c r="Y313" i="17"/>
  <c r="R313" i="17"/>
  <c r="S313" i="17" s="1"/>
  <c r="Y179" i="17"/>
  <c r="R179" i="17"/>
  <c r="S179" i="17" s="1"/>
  <c r="X100" i="17"/>
  <c r="Q100" i="17"/>
  <c r="U100" i="17" s="1"/>
  <c r="Y105" i="17"/>
  <c r="R105" i="17"/>
  <c r="S105" i="17" s="1"/>
  <c r="R324" i="17"/>
  <c r="S324" i="17" s="1"/>
  <c r="Y324" i="17"/>
  <c r="X498" i="17"/>
  <c r="Q498" i="17"/>
  <c r="U498" i="17" s="1"/>
  <c r="X516" i="17"/>
  <c r="Q516" i="17"/>
  <c r="U516" i="17" s="1"/>
  <c r="Y125" i="17"/>
  <c r="R125" i="17"/>
  <c r="S125" i="17" s="1"/>
  <c r="Y202" i="17"/>
  <c r="R202" i="17"/>
  <c r="S202" i="17" s="1"/>
  <c r="X459" i="17"/>
  <c r="Q459" i="17"/>
  <c r="U459" i="17" s="1"/>
  <c r="Q349" i="17"/>
  <c r="U349" i="17" s="1"/>
  <c r="X349" i="17"/>
  <c r="Q489" i="17"/>
  <c r="U489" i="17" s="1"/>
  <c r="X489" i="17"/>
  <c r="Y604" i="17"/>
  <c r="R604" i="17"/>
  <c r="S604" i="17" s="1"/>
  <c r="Q198" i="17"/>
  <c r="U198" i="17" s="1"/>
  <c r="X198" i="17"/>
  <c r="Q432" i="17"/>
  <c r="U432" i="17" s="1"/>
  <c r="X432" i="17"/>
  <c r="Y506" i="17"/>
  <c r="R506" i="17"/>
  <c r="S506" i="17" s="1"/>
  <c r="Q598" i="17"/>
  <c r="U598" i="17" s="1"/>
  <c r="X598" i="17"/>
  <c r="Q241" i="17"/>
  <c r="U241" i="17" s="1"/>
  <c r="X241" i="17"/>
  <c r="Q506" i="17"/>
  <c r="U506" i="17" s="1"/>
  <c r="X506" i="17"/>
  <c r="X303" i="17"/>
  <c r="Q303" i="17"/>
  <c r="U303" i="17" s="1"/>
  <c r="Y387" i="17"/>
  <c r="R387" i="17"/>
  <c r="S387" i="17" s="1"/>
  <c r="Y185" i="17"/>
  <c r="R185" i="17"/>
  <c r="S185" i="17" s="1"/>
  <c r="Y128" i="17"/>
  <c r="R128" i="17"/>
  <c r="S128" i="17" s="1"/>
  <c r="R351" i="17"/>
  <c r="S351" i="17" s="1"/>
  <c r="Y351" i="17"/>
  <c r="Q575" i="17"/>
  <c r="U575" i="17" s="1"/>
  <c r="X575" i="17"/>
  <c r="Q126" i="17"/>
  <c r="U126" i="17" s="1"/>
  <c r="X126" i="17"/>
  <c r="Q254" i="17"/>
  <c r="U254" i="17" s="1"/>
  <c r="X254" i="17"/>
  <c r="Y392" i="17"/>
  <c r="R392" i="17"/>
  <c r="S392" i="17" s="1"/>
  <c r="X412" i="17"/>
  <c r="Q412" i="17"/>
  <c r="U412" i="17" s="1"/>
  <c r="X258" i="17"/>
  <c r="Q258" i="17"/>
  <c r="U258" i="17" s="1"/>
  <c r="R113" i="17"/>
  <c r="S113" i="17" s="1"/>
  <c r="Y113" i="17"/>
  <c r="Q447" i="17"/>
  <c r="U447" i="17" s="1"/>
  <c r="X447" i="17"/>
  <c r="Q251" i="17"/>
  <c r="U251" i="17" s="1"/>
  <c r="X251" i="17"/>
  <c r="Q551" i="17"/>
  <c r="U551" i="17" s="1"/>
  <c r="X551" i="17"/>
  <c r="Y193" i="17"/>
  <c r="R193" i="17"/>
  <c r="S193" i="17" s="1"/>
  <c r="Y198" i="17"/>
  <c r="R198" i="17"/>
  <c r="S198" i="17" s="1"/>
  <c r="X532" i="17"/>
  <c r="Q532" i="17"/>
  <c r="U532" i="17" s="1"/>
  <c r="X64" i="17"/>
  <c r="Q64" i="17"/>
  <c r="U64" i="17" s="1"/>
  <c r="X97" i="17"/>
  <c r="Q97" i="17"/>
  <c r="U97" i="17" s="1"/>
  <c r="Q155" i="17"/>
  <c r="U155" i="17" s="1"/>
  <c r="X155" i="17"/>
  <c r="X20" i="17"/>
  <c r="Q20" i="17"/>
  <c r="U20" i="17" s="1"/>
  <c r="Y73" i="17"/>
  <c r="R73" i="17"/>
  <c r="S73" i="17" s="1"/>
  <c r="R544" i="17"/>
  <c r="S544" i="17" s="1"/>
  <c r="Y544" i="17"/>
  <c r="Y571" i="17"/>
  <c r="R571" i="17"/>
  <c r="S571" i="17" s="1"/>
  <c r="X246" i="17"/>
  <c r="Q246" i="17"/>
  <c r="U246" i="17" s="1"/>
  <c r="X125" i="17"/>
  <c r="Q125" i="17"/>
  <c r="U125" i="17" s="1"/>
  <c r="R218" i="17"/>
  <c r="S218" i="17" s="1"/>
  <c r="Y218" i="17"/>
  <c r="X515" i="17"/>
  <c r="Q515" i="17"/>
  <c r="U515" i="17" s="1"/>
  <c r="Q540" i="17"/>
  <c r="U540" i="17" s="1"/>
  <c r="X540" i="17"/>
  <c r="R391" i="17"/>
  <c r="S391" i="17" s="1"/>
  <c r="Y391" i="17"/>
  <c r="R71" i="17"/>
  <c r="S71" i="17" s="1"/>
  <c r="Y71" i="17"/>
  <c r="X149" i="17"/>
  <c r="Q149" i="17"/>
  <c r="U149" i="17" s="1"/>
  <c r="R223" i="17"/>
  <c r="S223" i="17" s="1"/>
  <c r="Y223" i="17"/>
  <c r="X187" i="17"/>
  <c r="Q187" i="17"/>
  <c r="U187" i="17" s="1"/>
  <c r="Q549" i="17"/>
  <c r="U549" i="17" s="1"/>
  <c r="X549" i="17"/>
  <c r="R216" i="17"/>
  <c r="S216" i="17" s="1"/>
  <c r="Y216" i="17"/>
  <c r="R194" i="17"/>
  <c r="S194" i="17" s="1"/>
  <c r="Y194" i="17"/>
  <c r="X337" i="17"/>
  <c r="Q337" i="17"/>
  <c r="U337" i="17" s="1"/>
  <c r="Y456" i="17"/>
  <c r="R456" i="17"/>
  <c r="S456" i="17" s="1"/>
  <c r="X341" i="17"/>
  <c r="Q341" i="17"/>
  <c r="U341" i="17" s="1"/>
  <c r="Y539" i="17"/>
  <c r="R539" i="17"/>
  <c r="S539" i="17" s="1"/>
  <c r="Y556" i="17"/>
  <c r="Y424" i="17"/>
  <c r="Y153" i="17"/>
  <c r="X536" i="17"/>
  <c r="Y594" i="17"/>
  <c r="Y307" i="17"/>
  <c r="Y188" i="17"/>
  <c r="Y220" i="17"/>
  <c r="X570" i="17"/>
  <c r="Y585" i="17"/>
  <c r="X396" i="17"/>
  <c r="X386" i="17"/>
  <c r="X272" i="17"/>
  <c r="Y548" i="17"/>
  <c r="Y280" i="17"/>
  <c r="X603" i="17"/>
  <c r="Y191" i="17"/>
  <c r="X495" i="17"/>
  <c r="Q50" i="17"/>
  <c r="U50" i="17" s="1"/>
  <c r="Q186" i="17"/>
  <c r="U186" i="17" s="1"/>
  <c r="R69" i="17"/>
  <c r="S69" i="17" s="1"/>
  <c r="Q94" i="17"/>
  <c r="U94" i="17" s="1"/>
  <c r="R301" i="17"/>
  <c r="S301" i="17" s="1"/>
  <c r="Q542" i="17"/>
  <c r="U542" i="17" s="1"/>
  <c r="Y186" i="17"/>
  <c r="R186" i="17"/>
  <c r="S186" i="17" s="1"/>
  <c r="R154" i="17"/>
  <c r="S154" i="17" s="1"/>
  <c r="Y154" i="17"/>
  <c r="Q464" i="17"/>
  <c r="U464" i="17" s="1"/>
  <c r="X464" i="17"/>
  <c r="Y468" i="17"/>
  <c r="R468" i="17"/>
  <c r="S468" i="17" s="1"/>
  <c r="Y145" i="17"/>
  <c r="R145" i="17"/>
  <c r="S145" i="17" s="1"/>
  <c r="R291" i="17"/>
  <c r="S291" i="17" s="1"/>
  <c r="Y291" i="17"/>
  <c r="Q331" i="17"/>
  <c r="U331" i="17" s="1"/>
  <c r="X331" i="17"/>
  <c r="Q324" i="17"/>
  <c r="U324" i="17" s="1"/>
  <c r="X324" i="17"/>
  <c r="Y341" i="17"/>
  <c r="X429" i="17"/>
  <c r="Y338" i="17"/>
  <c r="X379" i="17"/>
  <c r="X98" i="17"/>
  <c r="Q63" i="17"/>
  <c r="U63" i="17" s="1"/>
  <c r="Q23" i="17"/>
  <c r="U23" i="17" s="1"/>
  <c r="R180" i="17"/>
  <c r="S180" i="17" s="1"/>
  <c r="Q563" i="17"/>
  <c r="U563" i="17" s="1"/>
  <c r="R60" i="17"/>
  <c r="S60" i="17" s="1"/>
  <c r="Q600" i="17"/>
  <c r="U600" i="17" s="1"/>
  <c r="X51" i="17"/>
  <c r="Q51" i="17"/>
  <c r="U51" i="17" s="1"/>
  <c r="R452" i="17"/>
  <c r="S452" i="17" s="1"/>
  <c r="Y452" i="17"/>
  <c r="Y520" i="17"/>
  <c r="R520" i="17"/>
  <c r="S520" i="17" s="1"/>
  <c r="R303" i="17"/>
  <c r="S303" i="17" s="1"/>
  <c r="Y303" i="17"/>
  <c r="R377" i="17"/>
  <c r="S377" i="17" s="1"/>
  <c r="Y377" i="17"/>
  <c r="R475" i="17"/>
  <c r="S475" i="17" s="1"/>
  <c r="Y475" i="17"/>
  <c r="R410" i="17"/>
  <c r="S410" i="17" s="1"/>
  <c r="Y410" i="17"/>
  <c r="X293" i="17"/>
  <c r="Q293" i="17"/>
  <c r="AD292" i="17" s="1"/>
  <c r="AE292" i="17" s="1"/>
  <c r="R525" i="17"/>
  <c r="S525" i="17" s="1"/>
  <c r="Y525" i="17"/>
  <c r="R251" i="17"/>
  <c r="S251" i="17" s="1"/>
  <c r="Y251" i="17"/>
  <c r="R461" i="17"/>
  <c r="S461" i="17" s="1"/>
  <c r="Y461" i="17"/>
  <c r="Q360" i="17"/>
  <c r="U360" i="17" s="1"/>
  <c r="X360" i="17"/>
  <c r="Q118" i="17"/>
  <c r="U118" i="17" s="1"/>
  <c r="X118" i="17"/>
  <c r="Q413" i="17"/>
  <c r="U413" i="17" s="1"/>
  <c r="X413" i="17"/>
  <c r="R47" i="17"/>
  <c r="S47" i="17" s="1"/>
  <c r="Y47" i="17"/>
  <c r="R140" i="17"/>
  <c r="S140" i="17" s="1"/>
  <c r="Y140" i="17"/>
  <c r="R271" i="17"/>
  <c r="S271" i="17" s="1"/>
  <c r="Y271" i="17"/>
  <c r="R282" i="17"/>
  <c r="S282" i="17" s="1"/>
  <c r="Y282" i="17"/>
  <c r="R245" i="17"/>
  <c r="S245" i="17" s="1"/>
  <c r="Y245" i="17"/>
  <c r="Y442" i="17"/>
  <c r="R442" i="17"/>
  <c r="S442" i="17" s="1"/>
  <c r="Q105" i="17"/>
  <c r="U105" i="17" s="1"/>
  <c r="X105" i="17"/>
  <c r="X608" i="17"/>
  <c r="Q608" i="17"/>
  <c r="U608" i="17" s="1"/>
  <c r="R190" i="17"/>
  <c r="S190" i="17" s="1"/>
  <c r="Y190" i="17"/>
  <c r="X205" i="17"/>
  <c r="Q205" i="17"/>
  <c r="U205" i="17" s="1"/>
  <c r="Y428" i="17"/>
  <c r="R428" i="17"/>
  <c r="S428" i="17" s="1"/>
  <c r="X565" i="17"/>
  <c r="Q565" i="17"/>
  <c r="U565" i="17" s="1"/>
  <c r="X89" i="17"/>
  <c r="Q89" i="17"/>
  <c r="U89" i="17" s="1"/>
  <c r="X185" i="17"/>
  <c r="Q185" i="17"/>
  <c r="U185" i="17" s="1"/>
  <c r="Q474" i="17"/>
  <c r="U474" i="17" s="1"/>
  <c r="X474" i="17"/>
  <c r="X554" i="17"/>
  <c r="Q554" i="17"/>
  <c r="U554" i="17" s="1"/>
  <c r="X33" i="17"/>
  <c r="Q33" i="17"/>
  <c r="U33" i="17" s="1"/>
  <c r="X626" i="17"/>
  <c r="Q626" i="17"/>
  <c r="D636" i="17" s="1"/>
  <c r="Q559" i="17"/>
  <c r="U559" i="17" s="1"/>
  <c r="X559" i="17"/>
  <c r="R622" i="17"/>
  <c r="S622" i="17" s="1"/>
  <c r="Y622" i="17"/>
  <c r="Y432" i="17"/>
  <c r="R432" i="17"/>
  <c r="S432" i="17" s="1"/>
  <c r="Q259" i="17"/>
  <c r="U259" i="17" s="1"/>
  <c r="X259" i="17"/>
  <c r="Q30" i="17"/>
  <c r="U30" i="17" s="1"/>
  <c r="X30" i="17"/>
  <c r="R363" i="17"/>
  <c r="S363" i="17" s="1"/>
  <c r="Y363" i="17"/>
  <c r="Y349" i="17"/>
  <c r="Y265" i="17"/>
  <c r="Y427" i="17"/>
  <c r="Y234" i="17"/>
  <c r="X607" i="17"/>
  <c r="Y296" i="17"/>
  <c r="Y17" i="17"/>
  <c r="X383" i="17"/>
  <c r="Y203" i="17"/>
  <c r="Q76" i="17"/>
  <c r="U76" i="17" s="1"/>
  <c r="R398" i="17"/>
  <c r="S398" i="17" s="1"/>
  <c r="Q139" i="17"/>
  <c r="U139" i="17" s="1"/>
  <c r="R284" i="17"/>
  <c r="S284" i="17" s="1"/>
  <c r="R390" i="17"/>
  <c r="S390" i="17" s="1"/>
  <c r="X308" i="17"/>
  <c r="Q308" i="17"/>
  <c r="U308" i="17" s="1"/>
  <c r="Q223" i="17"/>
  <c r="U223" i="17" s="1"/>
  <c r="X223" i="17"/>
  <c r="X564" i="17"/>
  <c r="Q564" i="17"/>
  <c r="U564" i="17" s="1"/>
  <c r="Q409" i="17"/>
  <c r="U409" i="17" s="1"/>
  <c r="X409" i="17"/>
  <c r="Y132" i="17"/>
  <c r="R132" i="17"/>
  <c r="S132" i="17" s="1"/>
  <c r="R319" i="17"/>
  <c r="S319" i="17" s="1"/>
  <c r="Y319" i="17"/>
  <c r="R557" i="17"/>
  <c r="S557" i="17" s="1"/>
  <c r="Y557" i="17"/>
  <c r="R246" i="17"/>
  <c r="S246" i="17" s="1"/>
  <c r="Y246" i="17"/>
  <c r="Y61" i="17"/>
  <c r="R61" i="17"/>
  <c r="S61" i="17" s="1"/>
  <c r="Y158" i="17"/>
  <c r="R158" i="17"/>
  <c r="S158" i="17" s="1"/>
  <c r="X39" i="17"/>
  <c r="X442" i="17"/>
  <c r="Y493" i="17"/>
  <c r="X437" i="17"/>
  <c r="Y595" i="17"/>
  <c r="X468" i="17"/>
  <c r="Y613" i="17"/>
  <c r="X299" i="17"/>
  <c r="X483" i="17"/>
  <c r="X578" i="17"/>
  <c r="Y117" i="17"/>
  <c r="Y399" i="17"/>
  <c r="Q25" i="17"/>
  <c r="U25" i="17" s="1"/>
  <c r="R270" i="17"/>
  <c r="S270" i="17" s="1"/>
  <c r="R110" i="17"/>
  <c r="S110" i="17" s="1"/>
  <c r="R277" i="17"/>
  <c r="S277" i="17" s="1"/>
  <c r="Q405" i="17"/>
  <c r="U405" i="17" s="1"/>
  <c r="R536" i="17"/>
  <c r="S536" i="17" s="1"/>
  <c r="R350" i="17"/>
  <c r="S350" i="17" s="1"/>
  <c r="Y599" i="17"/>
  <c r="X229" i="17"/>
  <c r="Y542" i="17"/>
  <c r="X282" i="17"/>
  <c r="X466" i="17"/>
  <c r="Y437" i="17"/>
  <c r="X424" i="17"/>
  <c r="X613" i="17"/>
  <c r="Y590" i="17"/>
  <c r="X203" i="17"/>
  <c r="X416" i="17"/>
  <c r="R333" i="17"/>
  <c r="S333" i="17" s="1"/>
  <c r="X490" i="17"/>
  <c r="X57" i="17"/>
  <c r="Q57" i="17"/>
  <c r="U57" i="17" s="1"/>
  <c r="Y579" i="17"/>
  <c r="R579" i="17"/>
  <c r="S579" i="17" s="1"/>
  <c r="X148" i="17"/>
  <c r="Q148" i="17"/>
  <c r="U148" i="17" s="1"/>
  <c r="R274" i="17"/>
  <c r="S274" i="17" s="1"/>
  <c r="Y274" i="17"/>
  <c r="R531" i="17"/>
  <c r="S531" i="17" s="1"/>
  <c r="Y531" i="17"/>
  <c r="X46" i="17"/>
  <c r="Q46" i="17"/>
  <c r="U46" i="17" s="1"/>
  <c r="Q522" i="17"/>
  <c r="U522" i="17" s="1"/>
  <c r="X522" i="17"/>
  <c r="R210" i="17"/>
  <c r="S210" i="17" s="1"/>
  <c r="Y210" i="17"/>
  <c r="R591" i="17"/>
  <c r="S591" i="17" s="1"/>
  <c r="Y591" i="17"/>
  <c r="Y413" i="17"/>
  <c r="R413" i="17"/>
  <c r="S413" i="17" s="1"/>
  <c r="Y42" i="17"/>
  <c r="R42" i="17"/>
  <c r="S42" i="17" s="1"/>
  <c r="R221" i="17"/>
  <c r="S221" i="17" s="1"/>
  <c r="Y221" i="17"/>
  <c r="Q480" i="17"/>
  <c r="U480" i="17" s="1"/>
  <c r="X480" i="17"/>
  <c r="X545" i="17"/>
  <c r="Q545" i="17"/>
  <c r="U545" i="17" s="1"/>
  <c r="X553" i="17"/>
  <c r="Q553" i="17"/>
  <c r="U553" i="17" s="1"/>
  <c r="X264" i="17"/>
  <c r="Q264" i="17"/>
  <c r="U264" i="17" s="1"/>
  <c r="Y243" i="17"/>
  <c r="R243" i="17"/>
  <c r="S243" i="17" s="1"/>
  <c r="Q80" i="17"/>
  <c r="U80" i="17" s="1"/>
  <c r="X80" i="17"/>
  <c r="R357" i="17"/>
  <c r="S357" i="17" s="1"/>
  <c r="Y357" i="17"/>
  <c r="Y403" i="17"/>
  <c r="R403" i="17"/>
  <c r="S403" i="17" s="1"/>
  <c r="R365" i="17"/>
  <c r="S365" i="17" s="1"/>
  <c r="Y365" i="17"/>
  <c r="Q84" i="17"/>
  <c r="U84" i="17" s="1"/>
  <c r="X84" i="17"/>
  <c r="R469" i="17"/>
  <c r="S469" i="17" s="1"/>
  <c r="Y469" i="17"/>
  <c r="Y474" i="17"/>
  <c r="R474" i="17"/>
  <c r="S474" i="17" s="1"/>
  <c r="R486" i="17"/>
  <c r="S486" i="17" s="1"/>
  <c r="Y486" i="17"/>
  <c r="R207" i="17"/>
  <c r="S207" i="17" s="1"/>
  <c r="Y207" i="17"/>
  <c r="R79" i="17"/>
  <c r="S79" i="17" s="1"/>
  <c r="Y79" i="17"/>
  <c r="Q479" i="17"/>
  <c r="U479" i="17" s="1"/>
  <c r="X479" i="17"/>
  <c r="Q178" i="17"/>
  <c r="U178" i="17" s="1"/>
  <c r="X178" i="17"/>
  <c r="Y566" i="17"/>
  <c r="R566" i="17"/>
  <c r="S566" i="17" s="1"/>
  <c r="X13" i="17"/>
  <c r="X71" i="17"/>
  <c r="Y92" i="17"/>
  <c r="X507" i="17"/>
  <c r="X87" i="17"/>
  <c r="Y247" i="17"/>
  <c r="X231" i="17"/>
  <c r="Y408" i="17"/>
  <c r="X446" i="17"/>
  <c r="X206" i="17"/>
  <c r="Y450" i="17"/>
  <c r="Y278" i="17"/>
  <c r="Y268" i="17"/>
  <c r="Y83" i="17"/>
  <c r="X421" i="17"/>
  <c r="X280" i="17"/>
  <c r="Y211" i="17"/>
  <c r="Y373" i="17"/>
  <c r="Y18" i="17"/>
  <c r="X156" i="17"/>
  <c r="X220" i="17"/>
  <c r="X62" i="17"/>
  <c r="Y340" i="17"/>
  <c r="Y232" i="17"/>
  <c r="Y267" i="17"/>
  <c r="X107" i="17"/>
  <c r="Y543" i="17"/>
  <c r="X457" i="17"/>
  <c r="X384" i="17"/>
  <c r="Y606" i="17"/>
  <c r="X557" i="17"/>
  <c r="Q347" i="17"/>
  <c r="U347" i="17" s="1"/>
  <c r="R58" i="17"/>
  <c r="S58" i="17" s="1"/>
  <c r="R327" i="17"/>
  <c r="S327" i="17" s="1"/>
  <c r="Q543" i="17"/>
  <c r="U543" i="17" s="1"/>
  <c r="Q31" i="17"/>
  <c r="U31" i="17" s="1"/>
  <c r="R136" i="17"/>
  <c r="S136" i="17" s="1"/>
  <c r="Q287" i="17"/>
  <c r="U287" i="17" s="1"/>
  <c r="Q262" i="17"/>
  <c r="U262" i="17" s="1"/>
  <c r="Q372" i="17"/>
  <c r="U372" i="17" s="1"/>
  <c r="Q430" i="17"/>
  <c r="U430" i="17" s="1"/>
  <c r="R502" i="17"/>
  <c r="S502" i="17" s="1"/>
  <c r="Q249" i="17"/>
  <c r="U249" i="17" s="1"/>
  <c r="R82" i="17"/>
  <c r="S82" i="17" s="1"/>
  <c r="Q399" i="17"/>
  <c r="U399" i="17" s="1"/>
  <c r="R521" i="17"/>
  <c r="S521" i="17" s="1"/>
  <c r="Q157" i="17"/>
  <c r="U157" i="17" s="1"/>
  <c r="Q160" i="17"/>
  <c r="U160" i="17" s="1"/>
  <c r="R567" i="17"/>
  <c r="S567" i="17" s="1"/>
  <c r="Y70" i="17"/>
  <c r="R70" i="17"/>
  <c r="S70" i="17" s="1"/>
  <c r="R505" i="17"/>
  <c r="S505" i="17" s="1"/>
  <c r="Y505" i="17"/>
  <c r="X606" i="17"/>
  <c r="Q606" i="17"/>
  <c r="U606" i="17" s="1"/>
  <c r="Y205" i="17"/>
  <c r="R205" i="17"/>
  <c r="S205" i="17" s="1"/>
  <c r="Q582" i="17"/>
  <c r="U582" i="17" s="1"/>
  <c r="X582" i="17"/>
  <c r="Q596" i="17"/>
  <c r="U596" i="17" s="1"/>
  <c r="X596" i="17"/>
  <c r="Q496" i="17"/>
  <c r="U496" i="17" s="1"/>
  <c r="X496" i="17"/>
  <c r="X558" i="17"/>
  <c r="Q558" i="17"/>
  <c r="U558" i="17" s="1"/>
  <c r="Q66" i="17"/>
  <c r="U66" i="17" s="1"/>
  <c r="X66" i="17"/>
  <c r="Y573" i="17"/>
  <c r="R573" i="17"/>
  <c r="S573" i="17" s="1"/>
  <c r="Q226" i="17"/>
  <c r="U226" i="17" s="1"/>
  <c r="X226" i="17"/>
  <c r="Y249" i="17"/>
  <c r="R249" i="17"/>
  <c r="S249" i="17" s="1"/>
  <c r="R256" i="17"/>
  <c r="S256" i="17" s="1"/>
  <c r="Y256" i="17"/>
  <c r="X524" i="17"/>
  <c r="Q524" i="17"/>
  <c r="U524" i="17" s="1"/>
  <c r="X375" i="17"/>
  <c r="Q375" i="17"/>
  <c r="U375" i="17" s="1"/>
  <c r="Y119" i="17"/>
  <c r="R119" i="17"/>
  <c r="S119" i="17" s="1"/>
  <c r="Q275" i="17"/>
  <c r="U275" i="17" s="1"/>
  <c r="X275" i="17"/>
  <c r="Q143" i="17"/>
  <c r="U143" i="17" s="1"/>
  <c r="X143" i="17"/>
  <c r="Y94" i="17"/>
  <c r="R94" i="17"/>
  <c r="S94" i="17" s="1"/>
  <c r="X192" i="17"/>
  <c r="Q192" i="17"/>
  <c r="U192" i="17" s="1"/>
  <c r="R112" i="17"/>
  <c r="S112" i="17" s="1"/>
  <c r="Y112" i="17"/>
  <c r="Y28" i="17"/>
  <c r="X238" i="17"/>
  <c r="Y300" i="17"/>
  <c r="X357" i="17"/>
  <c r="X452" i="17"/>
  <c r="Y364" i="17"/>
  <c r="X77" i="17"/>
  <c r="Y473" i="17"/>
  <c r="Y409" i="17"/>
  <c r="Y29" i="17"/>
  <c r="X514" i="17"/>
  <c r="Y368" i="17"/>
  <c r="Y343" i="17"/>
  <c r="Y170" i="17"/>
  <c r="Y141" i="17"/>
  <c r="Y589" i="17"/>
  <c r="Y286" i="17"/>
  <c r="X397" i="17"/>
  <c r="Y258" i="17"/>
  <c r="X16" i="17"/>
  <c r="Y568" i="17"/>
  <c r="Y383" i="17"/>
  <c r="X589" i="17"/>
  <c r="X583" i="17"/>
  <c r="Q48" i="17"/>
  <c r="U48" i="17" s="1"/>
  <c r="Q202" i="17"/>
  <c r="U202" i="17" s="1"/>
  <c r="Q428" i="17"/>
  <c r="U428" i="17" s="1"/>
  <c r="Q243" i="17"/>
  <c r="U243" i="17" s="1"/>
  <c r="R464" i="17"/>
  <c r="S464" i="17" s="1"/>
  <c r="R321" i="17"/>
  <c r="S321" i="17" s="1"/>
  <c r="Q544" i="17"/>
  <c r="U544" i="17" s="1"/>
  <c r="R379" i="17"/>
  <c r="S379" i="17" s="1"/>
  <c r="R470" i="17"/>
  <c r="S470" i="17" s="1"/>
  <c r="R477" i="17"/>
  <c r="S477" i="17" s="1"/>
  <c r="R181" i="17"/>
  <c r="S181" i="17" s="1"/>
  <c r="R496" i="17"/>
  <c r="S496" i="17" s="1"/>
  <c r="R538" i="17"/>
  <c r="S538" i="17" s="1"/>
  <c r="Y330" i="17"/>
  <c r="R330" i="17"/>
  <c r="S330" i="17" s="1"/>
  <c r="Y462" i="17"/>
  <c r="R462" i="17"/>
  <c r="S462" i="17" s="1"/>
  <c r="R396" i="17"/>
  <c r="S396" i="17" s="1"/>
  <c r="Y396" i="17"/>
  <c r="X462" i="17"/>
  <c r="Q462" i="17"/>
  <c r="U462" i="17" s="1"/>
  <c r="Q448" i="17"/>
  <c r="U448" i="17" s="1"/>
  <c r="X448" i="17"/>
  <c r="Y231" i="17"/>
  <c r="R231" i="17"/>
  <c r="S231" i="17" s="1"/>
  <c r="Q581" i="17"/>
  <c r="U581" i="17" s="1"/>
  <c r="X581" i="17"/>
  <c r="Y41" i="17"/>
  <c r="R41" i="17"/>
  <c r="S41" i="17" s="1"/>
  <c r="X450" i="17"/>
  <c r="Q450" i="17"/>
  <c r="U450" i="17" s="1"/>
  <c r="Q227" i="17"/>
  <c r="U227" i="17" s="1"/>
  <c r="X227" i="17"/>
  <c r="R173" i="17"/>
  <c r="S173" i="17" s="1"/>
  <c r="Y173" i="17"/>
  <c r="Q353" i="17"/>
  <c r="U353" i="17" s="1"/>
  <c r="X353" i="17"/>
  <c r="X436" i="17"/>
  <c r="Q436" i="17"/>
  <c r="U436" i="17" s="1"/>
  <c r="X142" i="17"/>
  <c r="Q142" i="17"/>
  <c r="U142" i="17" s="1"/>
  <c r="Q622" i="17"/>
  <c r="D632" i="17" s="1"/>
  <c r="X622" i="17"/>
  <c r="Y36" i="17"/>
  <c r="R36" i="17"/>
  <c r="S36" i="17" s="1"/>
  <c r="X370" i="17"/>
  <c r="Q370" i="17"/>
  <c r="U370" i="17" s="1"/>
  <c r="Y86" i="17"/>
  <c r="R86" i="17"/>
  <c r="S86" i="17" s="1"/>
  <c r="X527" i="17"/>
  <c r="Q527" i="17"/>
  <c r="U527" i="17" s="1"/>
  <c r="Y352" i="17"/>
  <c r="R352" i="17"/>
  <c r="S352" i="17" s="1"/>
  <c r="R254" i="17"/>
  <c r="S254" i="17" s="1"/>
  <c r="Y254" i="17"/>
  <c r="Y511" i="17"/>
  <c r="R511" i="17"/>
  <c r="S511" i="17" s="1"/>
  <c r="X346" i="17"/>
  <c r="Q346" i="17"/>
  <c r="U346" i="17" s="1"/>
  <c r="Q509" i="17"/>
  <c r="U509" i="17" s="1"/>
  <c r="X509" i="17"/>
  <c r="Y238" i="17"/>
  <c r="R238" i="17"/>
  <c r="S238" i="17" s="1"/>
  <c r="Y33" i="17"/>
  <c r="R33" i="17"/>
  <c r="S33" i="17" s="1"/>
  <c r="Y405" i="17"/>
  <c r="R405" i="17"/>
  <c r="S405" i="17" s="1"/>
  <c r="Y289" i="17"/>
  <c r="R289" i="17"/>
  <c r="S289" i="17" s="1"/>
  <c r="Y160" i="17"/>
  <c r="R160" i="17"/>
  <c r="S160" i="17" s="1"/>
  <c r="X96" i="17"/>
  <c r="Q96" i="17"/>
  <c r="U96" i="17" s="1"/>
  <c r="R65" i="17"/>
  <c r="S65" i="17" s="1"/>
  <c r="Y65" i="17"/>
  <c r="Y15" i="17"/>
  <c r="R15" i="17"/>
  <c r="S15" i="17" s="1"/>
  <c r="X594" i="17"/>
  <c r="X266" i="17"/>
  <c r="X434" i="17"/>
  <c r="X183" i="17"/>
  <c r="Y118" i="17"/>
  <c r="Y199" i="17"/>
  <c r="X562" i="17"/>
  <c r="X298" i="17"/>
  <c r="Y555" i="17"/>
  <c r="Y575" i="17"/>
  <c r="X361" i="17"/>
  <c r="X53" i="17"/>
  <c r="Y48" i="17"/>
  <c r="Y414" i="17"/>
  <c r="X22" i="17"/>
  <c r="Y59" i="17"/>
  <c r="X99" i="17"/>
  <c r="Y134" i="17"/>
  <c r="X501" i="17"/>
  <c r="Y407" i="17"/>
  <c r="Y55" i="17"/>
  <c r="X367" i="17"/>
  <c r="X177" i="17"/>
  <c r="X188" i="17"/>
  <c r="X406" i="17"/>
  <c r="Y564" i="17"/>
  <c r="X318" i="17"/>
  <c r="X69" i="17"/>
  <c r="X158" i="17"/>
  <c r="X518" i="17"/>
  <c r="X253" i="17"/>
  <c r="X288" i="17"/>
  <c r="X207" i="17"/>
  <c r="X113" i="17"/>
  <c r="X134" i="17"/>
  <c r="X520" i="17"/>
  <c r="Y177" i="17"/>
  <c r="X194" i="17"/>
  <c r="R161" i="17"/>
  <c r="S161" i="17" s="1"/>
  <c r="R273" i="17"/>
  <c r="S273" i="17" s="1"/>
  <c r="Q165" i="17"/>
  <c r="U165" i="17" s="1"/>
  <c r="R242" i="17"/>
  <c r="S242" i="17" s="1"/>
  <c r="R123" i="17"/>
  <c r="S123" i="17" s="1"/>
  <c r="Q445" i="17"/>
  <c r="U445" i="17" s="1"/>
  <c r="Q609" i="17"/>
  <c r="U609" i="17" s="1"/>
  <c r="Q193" i="17"/>
  <c r="U193" i="17" s="1"/>
  <c r="Q456" i="17"/>
  <c r="U456" i="17" s="1"/>
  <c r="Q587" i="17"/>
  <c r="U587" i="17" s="1"/>
  <c r="Q88" i="17"/>
  <c r="U88" i="17" s="1"/>
  <c r="R124" i="17"/>
  <c r="S124" i="17" s="1"/>
  <c r="R425" i="17"/>
  <c r="S425" i="17" s="1"/>
  <c r="R580" i="17"/>
  <c r="S580" i="17" s="1"/>
  <c r="R325" i="17"/>
  <c r="S325" i="17" s="1"/>
  <c r="Q28" i="17"/>
  <c r="U28" i="17" s="1"/>
  <c r="X28" i="17"/>
  <c r="Q104" i="17"/>
  <c r="U104" i="17" s="1"/>
  <c r="X104" i="17"/>
  <c r="Y304" i="17"/>
  <c r="R304" i="17"/>
  <c r="S304" i="17" s="1"/>
  <c r="Y360" i="17"/>
  <c r="R360" i="17"/>
  <c r="S360" i="17" s="1"/>
  <c r="Q378" i="17"/>
  <c r="U378" i="17" s="1"/>
  <c r="X378" i="17"/>
  <c r="Q103" i="17"/>
  <c r="U103" i="17" s="1"/>
  <c r="X103" i="17"/>
  <c r="R95" i="17"/>
  <c r="S95" i="17" s="1"/>
  <c r="Y95" i="17"/>
  <c r="X131" i="17"/>
  <c r="Q131" i="17"/>
  <c r="U131" i="17" s="1"/>
  <c r="R175" i="17"/>
  <c r="S175" i="17" s="1"/>
  <c r="Y175" i="17"/>
  <c r="X453" i="17"/>
  <c r="Q453" i="17"/>
  <c r="U453" i="17" s="1"/>
  <c r="Q404" i="17"/>
  <c r="U404" i="17" s="1"/>
  <c r="X404" i="17"/>
  <c r="R448" i="17"/>
  <c r="S448" i="17" s="1"/>
  <c r="Y448" i="17"/>
  <c r="R553" i="17"/>
  <c r="S553" i="17" s="1"/>
  <c r="Y553" i="17"/>
  <c r="R371" i="17"/>
  <c r="S371" i="17" s="1"/>
  <c r="Y371" i="17"/>
  <c r="X332" i="17"/>
  <c r="Q332" i="17"/>
  <c r="U332" i="17" s="1"/>
  <c r="R420" i="17"/>
  <c r="S420" i="17" s="1"/>
  <c r="Y420" i="17"/>
  <c r="Y514" i="17"/>
  <c r="R514" i="17"/>
  <c r="S514" i="17" s="1"/>
  <c r="R23" i="17"/>
  <c r="S23" i="17" s="1"/>
  <c r="Y23" i="17"/>
  <c r="Y143" i="17"/>
  <c r="R143" i="17"/>
  <c r="S143" i="17" s="1"/>
  <c r="R385" i="17"/>
  <c r="S385" i="17" s="1"/>
  <c r="Y385" i="17"/>
  <c r="Q451" i="17"/>
  <c r="U451" i="17" s="1"/>
  <c r="X451" i="17"/>
  <c r="Q276" i="17"/>
  <c r="U276" i="17" s="1"/>
  <c r="X276" i="17"/>
  <c r="Q342" i="17"/>
  <c r="U342" i="17" s="1"/>
  <c r="X342" i="17"/>
  <c r="Y533" i="17"/>
  <c r="R533" i="17"/>
  <c r="S533" i="17" s="1"/>
  <c r="R530" i="17"/>
  <c r="S530" i="17" s="1"/>
  <c r="Y530" i="17"/>
  <c r="Q305" i="17"/>
  <c r="U305" i="17" s="1"/>
  <c r="X305" i="17"/>
  <c r="Q328" i="17"/>
  <c r="U328" i="17" s="1"/>
  <c r="X328" i="17"/>
  <c r="Y64" i="17"/>
  <c r="R64" i="17"/>
  <c r="S64" i="17" s="1"/>
  <c r="R148" i="17"/>
  <c r="S148" i="17" s="1"/>
  <c r="Y148" i="17"/>
  <c r="R510" i="17"/>
  <c r="S510" i="17" s="1"/>
  <c r="Y510" i="17"/>
  <c r="X245" i="17"/>
  <c r="Q245" i="17"/>
  <c r="U245" i="17" s="1"/>
  <c r="X486" i="17"/>
  <c r="Q486" i="17"/>
  <c r="U486" i="17" s="1"/>
  <c r="Q556" i="17"/>
  <c r="U556" i="17" s="1"/>
  <c r="X556" i="17"/>
  <c r="Q519" i="17"/>
  <c r="U519" i="17" s="1"/>
  <c r="X519" i="17"/>
  <c r="X273" i="17"/>
  <c r="Q273" i="17"/>
  <c r="U273" i="17" s="1"/>
  <c r="Y336" i="17"/>
  <c r="R336" i="17"/>
  <c r="S336" i="17" s="1"/>
  <c r="R476" i="17"/>
  <c r="S476" i="17" s="1"/>
  <c r="Y476" i="17"/>
  <c r="Y626" i="17"/>
  <c r="R626" i="17"/>
  <c r="S626" i="17" s="1"/>
  <c r="R588" i="17"/>
  <c r="S588" i="17" s="1"/>
  <c r="Y588" i="17"/>
  <c r="R534" i="17"/>
  <c r="S534" i="17" s="1"/>
  <c r="Y534" i="17"/>
  <c r="Q510" i="17"/>
  <c r="U510" i="17" s="1"/>
  <c r="X510" i="17"/>
  <c r="Q382" i="17"/>
  <c r="U382" i="17" s="1"/>
  <c r="X382" i="17"/>
  <c r="R356" i="17"/>
  <c r="S356" i="17" s="1"/>
  <c r="Y356" i="17"/>
  <c r="Q228" i="17"/>
  <c r="U228" i="17" s="1"/>
  <c r="X228" i="17"/>
  <c r="Y478" i="17"/>
  <c r="R478" i="17"/>
  <c r="S478" i="17" s="1"/>
  <c r="Q170" i="17"/>
  <c r="U170" i="17" s="1"/>
  <c r="X170" i="17"/>
  <c r="R395" i="17"/>
  <c r="S395" i="17" s="1"/>
  <c r="Y395" i="17"/>
  <c r="Q547" i="17"/>
  <c r="U547" i="17" s="1"/>
  <c r="X547" i="17"/>
  <c r="R465" i="17"/>
  <c r="S465" i="17" s="1"/>
  <c r="Y465" i="17"/>
  <c r="Q106" i="17"/>
  <c r="U106" i="17" s="1"/>
  <c r="X106" i="17"/>
  <c r="Y593" i="17"/>
  <c r="R593" i="17"/>
  <c r="S593" i="17" s="1"/>
  <c r="R326" i="17"/>
  <c r="S326" i="17" s="1"/>
  <c r="Y326" i="17"/>
  <c r="Q176" i="17"/>
  <c r="U176" i="17" s="1"/>
  <c r="X176" i="17"/>
  <c r="R584" i="17"/>
  <c r="S584" i="17" s="1"/>
  <c r="Y584" i="17"/>
  <c r="Q296" i="17"/>
  <c r="U296" i="17" s="1"/>
  <c r="X296" i="17"/>
  <c r="X444" i="17"/>
  <c r="Q444" i="17"/>
  <c r="U444" i="17" s="1"/>
  <c r="X511" i="17"/>
  <c r="Q511" i="17"/>
  <c r="U511" i="17" s="1"/>
  <c r="R600" i="17"/>
  <c r="S600" i="17" s="1"/>
  <c r="Y600" i="17"/>
  <c r="R106" i="17"/>
  <c r="S106" i="17" s="1"/>
  <c r="Y106" i="17"/>
  <c r="Q54" i="17"/>
  <c r="U54" i="17" s="1"/>
  <c r="X54" i="17"/>
  <c r="Q61" i="17"/>
  <c r="U61" i="17" s="1"/>
  <c r="X61" i="17"/>
  <c r="Y447" i="17"/>
  <c r="R447" i="17"/>
  <c r="S447" i="17" s="1"/>
  <c r="X376" i="17"/>
  <c r="Q376" i="17"/>
  <c r="U376" i="17" s="1"/>
  <c r="X504" i="17"/>
  <c r="Q504" i="17"/>
  <c r="U504" i="17" s="1"/>
  <c r="R528" i="17"/>
  <c r="S528" i="17" s="1"/>
  <c r="Y528" i="17"/>
  <c r="Y582" i="17"/>
  <c r="R582" i="17"/>
  <c r="S582" i="17" s="1"/>
  <c r="X285" i="17"/>
  <c r="Q285" i="17"/>
  <c r="U285" i="17" s="1"/>
  <c r="X476" i="17"/>
  <c r="Q476" i="17"/>
  <c r="U476" i="17" s="1"/>
  <c r="Y435" i="17"/>
  <c r="R435" i="17"/>
  <c r="S435" i="17" s="1"/>
  <c r="Q117" i="17"/>
  <c r="AD116" i="17" s="1"/>
  <c r="AE116" i="17" s="1"/>
  <c r="X117" i="17"/>
  <c r="Y569" i="17"/>
  <c r="R569" i="17"/>
  <c r="S569" i="17" s="1"/>
  <c r="Y139" i="17"/>
  <c r="R139" i="17"/>
  <c r="S139" i="17" s="1"/>
  <c r="X60" i="17"/>
  <c r="Q60" i="17"/>
  <c r="U60" i="17" s="1"/>
  <c r="Q85" i="17"/>
  <c r="U85" i="17" s="1"/>
  <c r="X85" i="17"/>
  <c r="R76" i="17"/>
  <c r="S76" i="17" s="1"/>
  <c r="Y76" i="17"/>
  <c r="X17" i="17"/>
  <c r="Q17" i="17"/>
  <c r="U17" i="17" s="1"/>
  <c r="Y100" i="17"/>
  <c r="R100" i="17"/>
  <c r="S100" i="17" s="1"/>
  <c r="Y491" i="17"/>
  <c r="Y30" i="17"/>
  <c r="Y337" i="17"/>
  <c r="Y53" i="17"/>
  <c r="X201" i="17"/>
  <c r="X473" i="17"/>
  <c r="X133" i="17"/>
  <c r="Y27" i="17"/>
  <c r="X111" i="17"/>
  <c r="X309" i="17"/>
  <c r="X184" i="17"/>
  <c r="X83" i="17"/>
  <c r="X32" i="17"/>
  <c r="Y225" i="17"/>
  <c r="Y609" i="17"/>
  <c r="X150" i="17"/>
  <c r="X154" i="17"/>
  <c r="X340" i="17"/>
  <c r="Y412" i="17"/>
  <c r="Y285" i="17"/>
  <c r="Y89" i="17"/>
  <c r="Y598" i="17"/>
  <c r="Y120" i="17"/>
  <c r="Y374" i="17"/>
  <c r="X592" i="17"/>
  <c r="X112" i="17"/>
  <c r="Y320" i="17"/>
  <c r="X319" i="17"/>
  <c r="Y458" i="17"/>
  <c r="X255" i="17"/>
  <c r="Y150" i="17"/>
  <c r="Y241" i="17"/>
  <c r="Y532" i="17"/>
  <c r="Y381" i="17"/>
  <c r="Y322" i="17"/>
  <c r="R402" i="17"/>
  <c r="S402" i="17" s="1"/>
  <c r="R212" i="17"/>
  <c r="S212" i="17" s="1"/>
  <c r="Q210" i="17"/>
  <c r="U210" i="17" s="1"/>
  <c r="Q461" i="17"/>
  <c r="U461" i="17" s="1"/>
  <c r="R375" i="17"/>
  <c r="S375" i="17" s="1"/>
  <c r="R353" i="17"/>
  <c r="S353" i="17" s="1"/>
  <c r="Q216" i="17"/>
  <c r="U216" i="17" s="1"/>
  <c r="Q419" i="17"/>
  <c r="U419" i="17" s="1"/>
  <c r="R91" i="17"/>
  <c r="S91" i="17" s="1"/>
  <c r="Q119" i="17"/>
  <c r="U119" i="17" s="1"/>
  <c r="R290" i="17"/>
  <c r="S290" i="17" s="1"/>
  <c r="R168" i="17"/>
  <c r="S168" i="17" s="1"/>
  <c r="Q247" i="17"/>
  <c r="U247" i="17" s="1"/>
  <c r="R38" i="17"/>
  <c r="S38" i="17" s="1"/>
  <c r="R311" i="17"/>
  <c r="S311" i="17" s="1"/>
  <c r="R562" i="17"/>
  <c r="S562" i="17" s="1"/>
  <c r="R487" i="17"/>
  <c r="S487" i="17" s="1"/>
  <c r="R262" i="17"/>
  <c r="S262" i="17" s="1"/>
  <c r="Q141" i="17"/>
  <c r="U141" i="17" s="1"/>
  <c r="Q449" i="17"/>
  <c r="U449" i="17" s="1"/>
  <c r="X439" i="17"/>
  <c r="Y417" i="17"/>
  <c r="Y522" i="17"/>
  <c r="X302" i="17"/>
  <c r="X492" i="17"/>
  <c r="X291" i="17"/>
  <c r="Y39" i="17"/>
  <c r="Y519" i="17"/>
  <c r="X78" i="17"/>
  <c r="Y596" i="17"/>
  <c r="X533" i="17"/>
  <c r="Y317" i="17"/>
  <c r="Y501" i="17"/>
  <c r="X351" i="17"/>
  <c r="X325" i="17"/>
  <c r="X215" i="17"/>
  <c r="Q602" i="17"/>
  <c r="U602" i="17" s="1"/>
  <c r="Q19" i="17"/>
  <c r="U19" i="17" s="1"/>
  <c r="R287" i="17"/>
  <c r="S287" i="17" s="1"/>
  <c r="R612" i="17"/>
  <c r="S612" i="17" s="1"/>
  <c r="R587" i="17"/>
  <c r="S587" i="17" s="1"/>
  <c r="R293" i="17"/>
  <c r="S293" i="17" s="1"/>
  <c r="Q313" i="17"/>
  <c r="U313" i="17" s="1"/>
  <c r="R558" i="17"/>
  <c r="S558" i="17" s="1"/>
  <c r="R13" i="17"/>
  <c r="S13" i="17" s="1"/>
  <c r="Q127" i="17"/>
  <c r="U127" i="17" s="1"/>
  <c r="R240" i="17"/>
  <c r="S240" i="17" s="1"/>
  <c r="R183" i="17"/>
  <c r="S183" i="17" s="1"/>
  <c r="Q222" i="17"/>
  <c r="U222" i="17" s="1"/>
  <c r="Q339" i="17"/>
  <c r="U339" i="17" s="1"/>
  <c r="R554" i="17"/>
  <c r="S554" i="17" s="1"/>
  <c r="Q377" i="17"/>
  <c r="U377" i="17" s="1"/>
  <c r="Q611" i="17"/>
  <c r="U611" i="17" s="1"/>
  <c r="R122" i="17"/>
  <c r="S122" i="17" s="1"/>
  <c r="Q365" i="17"/>
  <c r="U365" i="17" s="1"/>
  <c r="Q257" i="17"/>
  <c r="U257" i="17" s="1"/>
  <c r="Y272" i="17"/>
  <c r="X491" i="17"/>
  <c r="Y523" i="17"/>
  <c r="X329" i="17"/>
  <c r="X418" i="17"/>
  <c r="Y603" i="17"/>
  <c r="Y499" i="17"/>
  <c r="Y545" i="17"/>
  <c r="Y439" i="17"/>
  <c r="Y389" i="17"/>
  <c r="X18" i="17"/>
  <c r="X374" i="17"/>
  <c r="Y157" i="17"/>
  <c r="Y66" i="17"/>
  <c r="X392" i="17"/>
  <c r="Y261" i="17"/>
  <c r="X230" i="17"/>
  <c r="X426" i="17"/>
  <c r="R378" i="17"/>
  <c r="S378" i="17" s="1"/>
  <c r="R142" i="17"/>
  <c r="S142" i="17" s="1"/>
  <c r="R129" i="17"/>
  <c r="S129" i="17" s="1"/>
  <c r="Q550" i="17"/>
  <c r="U550" i="17" s="1"/>
  <c r="R149" i="17"/>
  <c r="S149" i="17" s="1"/>
  <c r="R260" i="17"/>
  <c r="S260" i="17" s="1"/>
  <c r="R288" i="17"/>
  <c r="S288" i="17" s="1"/>
  <c r="R111" i="17"/>
  <c r="S111" i="17" s="1"/>
  <c r="Q269" i="17"/>
  <c r="U269" i="17" s="1"/>
  <c r="R16" i="17"/>
  <c r="S16" i="17" s="1"/>
  <c r="Q109" i="17"/>
  <c r="U109" i="17" s="1"/>
  <c r="Q425" i="17"/>
  <c r="U425" i="17" s="1"/>
  <c r="Y623" i="17"/>
  <c r="X327" i="17"/>
  <c r="Y436" i="17"/>
  <c r="Y601" i="17"/>
  <c r="Y228" i="17"/>
  <c r="X21" i="17"/>
  <c r="X47" i="17"/>
  <c r="X595" i="17"/>
  <c r="X408" i="17"/>
  <c r="Y107" i="17"/>
  <c r="Y43" i="17"/>
  <c r="Y166" i="17"/>
  <c r="Y451" i="17"/>
  <c r="Y578" i="17"/>
  <c r="X250" i="17"/>
  <c r="Y316" i="17"/>
  <c r="X101" i="17"/>
  <c r="X42" i="17"/>
  <c r="X175" i="17"/>
  <c r="Y454" i="17"/>
  <c r="Y151" i="17"/>
  <c r="X411" i="17"/>
  <c r="X91" i="17"/>
  <c r="X531" i="17"/>
  <c r="X41" i="17"/>
  <c r="X513" i="17"/>
  <c r="X271" i="17"/>
  <c r="X548" i="17"/>
  <c r="X362" i="17"/>
  <c r="Y382" i="17"/>
  <c r="Y551" i="17"/>
  <c r="Y155" i="17"/>
  <c r="Y421" i="17"/>
  <c r="Q44" i="17"/>
  <c r="U44" i="17" s="1"/>
  <c r="R192" i="17"/>
  <c r="S192" i="17" s="1"/>
  <c r="R563" i="17"/>
  <c r="S563" i="17" s="1"/>
  <c r="R426" i="17"/>
  <c r="S426" i="17" s="1"/>
  <c r="R174" i="17"/>
  <c r="S174" i="17" s="1"/>
  <c r="Q181" i="17"/>
  <c r="U181" i="17" s="1"/>
  <c r="Q467" i="17"/>
  <c r="U467" i="17" s="1"/>
  <c r="Q55" i="17"/>
  <c r="U55" i="17" s="1"/>
  <c r="Q65" i="17"/>
  <c r="U65" i="17" s="1"/>
  <c r="Q525" i="17"/>
  <c r="U525" i="17" s="1"/>
  <c r="Q336" i="17"/>
  <c r="U336" i="17" s="1"/>
  <c r="Y46" i="17"/>
  <c r="Y259" i="17"/>
  <c r="X537" i="17"/>
  <c r="Y56" i="17"/>
  <c r="X427" i="17"/>
  <c r="Y182" i="17"/>
  <c r="Y310" i="17"/>
  <c r="Y279" i="17"/>
  <c r="X163" i="17"/>
  <c r="X153" i="17"/>
  <c r="Y67" i="17"/>
  <c r="X369" i="17"/>
  <c r="X261" i="17"/>
  <c r="Y171" i="17"/>
  <c r="Y329" i="17"/>
  <c r="Y457" i="17"/>
  <c r="Y332" i="17"/>
  <c r="X363" i="17"/>
  <c r="Y77" i="17"/>
  <c r="X460" i="17"/>
  <c r="X214" i="17"/>
  <c r="X591" i="17"/>
  <c r="X26" i="17"/>
  <c r="Y87" i="17"/>
  <c r="X469" i="17"/>
  <c r="X164" i="17"/>
  <c r="X292" i="17"/>
  <c r="Y152" i="17"/>
  <c r="X189" i="17"/>
  <c r="Y370" i="17"/>
  <c r="X286" i="17"/>
  <c r="Y471" i="17"/>
  <c r="X605" i="17"/>
  <c r="X577" i="17"/>
  <c r="X574" i="17"/>
  <c r="X307" i="17"/>
  <c r="Y406" i="17"/>
  <c r="Y367" i="17"/>
  <c r="X471" i="17"/>
  <c r="X566" i="17"/>
  <c r="X368" i="17"/>
  <c r="AB627" i="17"/>
  <c r="R627" i="17"/>
  <c r="S627" i="17" s="1"/>
  <c r="AA627" i="17"/>
  <c r="AD468" i="17"/>
  <c r="AE468" i="17" s="1"/>
  <c r="U469" i="17"/>
  <c r="U391" i="17"/>
  <c r="AD21" i="17"/>
  <c r="AE21" i="17" s="1"/>
  <c r="U22" i="17"/>
  <c r="AD613" i="17"/>
  <c r="AE613" i="17" s="1"/>
  <c r="U613" i="17"/>
  <c r="U18" i="17"/>
  <c r="U110" i="17"/>
  <c r="AD237" i="17"/>
  <c r="AE237" i="17" s="1"/>
  <c r="U238" i="17"/>
  <c r="AD584" i="17"/>
  <c r="U584" i="17"/>
  <c r="U487" i="17"/>
  <c r="X625" i="17"/>
  <c r="AD422" i="17"/>
  <c r="AE422" i="17" s="1"/>
  <c r="AD437" i="17"/>
  <c r="AE437" i="17" s="1"/>
  <c r="AD68" i="17"/>
  <c r="AE68" i="17" s="1"/>
  <c r="AD385" i="17"/>
  <c r="AD400" i="17"/>
  <c r="AD333" i="17"/>
  <c r="AE333" i="17" s="1"/>
  <c r="AD490" i="17"/>
  <c r="AE490" i="17" s="1"/>
  <c r="AD383" i="17"/>
  <c r="AE383" i="17" s="1"/>
  <c r="AD151" i="17"/>
  <c r="AE151" i="17" s="1"/>
  <c r="R624" i="17"/>
  <c r="S624" i="17" s="1"/>
  <c r="AA624" i="17"/>
  <c r="E634" i="17" s="1"/>
  <c r="R625" i="17"/>
  <c r="S625" i="17" s="1"/>
  <c r="AA625" i="17"/>
  <c r="E635" i="17" s="1"/>
  <c r="AD73" i="17"/>
  <c r="AE73" i="17" s="1"/>
  <c r="AD111" i="17"/>
  <c r="AE111" i="17" s="1"/>
  <c r="AD298" i="17"/>
  <c r="AE298" i="17" s="1"/>
  <c r="Q627" i="17"/>
  <c r="AB624" i="17"/>
  <c r="Q624" i="17"/>
  <c r="D634" i="17" s="1"/>
  <c r="Q625" i="17"/>
  <c r="D635" i="17" s="1"/>
  <c r="AD477" i="17"/>
  <c r="AD513" i="17"/>
  <c r="AE513" i="17" s="1"/>
  <c r="AD535" i="17"/>
  <c r="AD239" i="17"/>
  <c r="AE239" i="17" s="1"/>
  <c r="AD407" i="17"/>
  <c r="AE407" i="17" s="1"/>
  <c r="AD112" i="17"/>
  <c r="AE112" i="17" s="1"/>
  <c r="AD465" i="17"/>
  <c r="AD208" i="17"/>
  <c r="AE208" i="17" s="1"/>
  <c r="AD379" i="17"/>
  <c r="AE379" i="17" s="1"/>
  <c r="AD560" i="17"/>
  <c r="AE560" i="17" s="1"/>
  <c r="AD583" i="17"/>
  <c r="AE583" i="17" s="1"/>
  <c r="AD594" i="17"/>
  <c r="AE594" i="17" s="1"/>
  <c r="AD591" i="17"/>
  <c r="AD183" i="17"/>
  <c r="AE183" i="17" s="1"/>
  <c r="AD577" i="17"/>
  <c r="AE577" i="17" s="1"/>
  <c r="AD396" i="17"/>
  <c r="AE396" i="17" s="1"/>
  <c r="AD182" i="17"/>
  <c r="AE182" i="17" s="1"/>
  <c r="AD77" i="17"/>
  <c r="AE77" i="17" s="1"/>
  <c r="AD91" i="17"/>
  <c r="AE91" i="17" s="1"/>
  <c r="AD367" i="17"/>
  <c r="AE367" i="17" s="1"/>
  <c r="AD220" i="17"/>
  <c r="AE220" i="17" s="1"/>
  <c r="AD150" i="17"/>
  <c r="AE150" i="17" s="1"/>
  <c r="AD41" i="17"/>
  <c r="AE41" i="17" s="1"/>
  <c r="AD384" i="17"/>
  <c r="AE384" i="17" s="1"/>
  <c r="AD98" i="17"/>
  <c r="AE98" i="17" s="1"/>
  <c r="AD306" i="17"/>
  <c r="AE306" i="17" s="1"/>
  <c r="AD491" i="17"/>
  <c r="AE491" i="17" s="1"/>
  <c r="AD361" i="17"/>
  <c r="AE361" i="17" s="1"/>
  <c r="AD417" i="17"/>
  <c r="AE417" i="17" s="1"/>
  <c r="AD343" i="17"/>
  <c r="AE343" i="17" s="1"/>
  <c r="AD40" i="17"/>
  <c r="AE40" i="17" s="1"/>
  <c r="AD536" i="17"/>
  <c r="AE536" i="17" s="1"/>
  <c r="AD230" i="17"/>
  <c r="AE230" i="17" s="1"/>
  <c r="AD416" i="17"/>
  <c r="AD311" i="17"/>
  <c r="AE311" i="17" s="1"/>
  <c r="AD171" i="17"/>
  <c r="AE171" i="17" s="1"/>
  <c r="AD271" i="17"/>
  <c r="AE271" i="17" s="1"/>
  <c r="AD363" i="17"/>
  <c r="AE363" i="17" s="1"/>
  <c r="AD604" i="17"/>
  <c r="AE604" i="17" s="1"/>
  <c r="AD110" i="17"/>
  <c r="AE110" i="17" s="1"/>
  <c r="AD386" i="17"/>
  <c r="AE386" i="17" s="1"/>
  <c r="AD426" i="17"/>
  <c r="AD434" i="17"/>
  <c r="AE434" i="17" s="1"/>
  <c r="AD561" i="17"/>
  <c r="AE561" i="17" s="1"/>
  <c r="AD214" i="17"/>
  <c r="AE214" i="17" s="1"/>
  <c r="AD153" i="17"/>
  <c r="AE153" i="17" s="1"/>
  <c r="AD282" i="17"/>
  <c r="AE282" i="17" s="1"/>
  <c r="AD603" i="17"/>
  <c r="AE603" i="17" s="1"/>
  <c r="AD252" i="17"/>
  <c r="AE252" i="17" s="1"/>
  <c r="AD163" i="17"/>
  <c r="AE163" i="17" s="1"/>
  <c r="AD207" i="17"/>
  <c r="AE207" i="17" s="1"/>
  <c r="AD39" i="17"/>
  <c r="AE39" i="17" s="1"/>
  <c r="AD78" i="17"/>
  <c r="AE78" i="17" s="1"/>
  <c r="AD373" i="17"/>
  <c r="AE373" i="17" s="1"/>
  <c r="AD238" i="17"/>
  <c r="AE238" i="17" s="1"/>
  <c r="AD438" i="17"/>
  <c r="AE438" i="17" s="1"/>
  <c r="AD406" i="17"/>
  <c r="AE406" i="17" s="1"/>
  <c r="AD188" i="17"/>
  <c r="AE188" i="17" s="1"/>
  <c r="AD134" i="17"/>
  <c r="AE134" i="17" s="1"/>
  <c r="AD350" i="17"/>
  <c r="AE350" i="17" s="1"/>
  <c r="AD578" i="17"/>
  <c r="AE578" i="17" s="1"/>
  <c r="AD579" i="17"/>
  <c r="AD423" i="17"/>
  <c r="AE423" i="17" s="1"/>
  <c r="AD206" i="17"/>
  <c r="AE206" i="17" s="1"/>
  <c r="AD70" i="17"/>
  <c r="AE70" i="17" s="1"/>
  <c r="AD74" i="17"/>
  <c r="AE74" i="17" s="1"/>
  <c r="AD42" i="17"/>
  <c r="AE42" i="17" s="1"/>
  <c r="AD362" i="17"/>
  <c r="AE362" i="17" s="1"/>
  <c r="AD260" i="17"/>
  <c r="AE260" i="17" s="1"/>
  <c r="Y624" i="17"/>
  <c r="X624" i="17"/>
  <c r="Y625" i="17"/>
  <c r="AD391" i="17"/>
  <c r="AE391" i="17" s="1"/>
  <c r="AD291" i="17"/>
  <c r="AE291" i="17" s="1"/>
  <c r="AD388" i="17"/>
  <c r="AE388" i="17" s="1"/>
  <c r="AD38" i="17"/>
  <c r="AE38" i="17" s="1"/>
  <c r="AD318" i="17"/>
  <c r="AD133" i="17"/>
  <c r="AE133" i="17" s="1"/>
  <c r="AD279" i="17"/>
  <c r="AE279" i="17" s="1"/>
  <c r="AD401" i="17"/>
  <c r="AD317" i="17"/>
  <c r="AE317" i="17" s="1"/>
  <c r="AD229" i="17"/>
  <c r="AE229" i="17" s="1"/>
  <c r="AD152" i="17"/>
  <c r="AE152" i="17" s="1"/>
  <c r="AD356" i="17"/>
  <c r="AE356" i="17" s="1"/>
  <c r="AD69" i="17"/>
  <c r="AE69" i="17" s="1"/>
  <c r="AD387" i="17"/>
  <c r="AD421" i="17"/>
  <c r="AE421" i="17" s="1"/>
  <c r="AD368" i="17"/>
  <c r="AE368" i="17" s="1"/>
  <c r="AE477" i="17" l="1"/>
  <c r="AE465" i="17"/>
  <c r="AE591" i="17"/>
  <c r="AE584" i="17"/>
  <c r="AE385" i="17"/>
  <c r="AE579" i="17"/>
  <c r="AE318" i="17"/>
  <c r="AD537" i="17"/>
  <c r="AE537" i="17" s="1"/>
  <c r="U86" i="17"/>
  <c r="AD344" i="17"/>
  <c r="AE344" i="17" s="1"/>
  <c r="AE400" i="17"/>
  <c r="AE401" i="17"/>
  <c r="U567" i="25"/>
  <c r="AD566" i="25"/>
  <c r="AE566" i="25" s="1"/>
  <c r="U570" i="25"/>
  <c r="AD569" i="25"/>
  <c r="AE569" i="25" s="1"/>
  <c r="AD521" i="25"/>
  <c r="AE521" i="25" s="1"/>
  <c r="U522" i="25"/>
  <c r="U503" i="25"/>
  <c r="AD502" i="25"/>
  <c r="AE502" i="25" s="1"/>
  <c r="U408" i="25"/>
  <c r="AD407" i="25"/>
  <c r="AE407" i="25" s="1"/>
  <c r="U391" i="25"/>
  <c r="AD390" i="25"/>
  <c r="AE390" i="25" s="1"/>
  <c r="U406" i="25"/>
  <c r="AD405" i="25"/>
  <c r="AE405" i="25" s="1"/>
  <c r="U373" i="25"/>
  <c r="AD372" i="25"/>
  <c r="AE372" i="25" s="1"/>
  <c r="U285" i="25"/>
  <c r="AD284" i="25"/>
  <c r="AE284" i="25" s="1"/>
  <c r="U234" i="25"/>
  <c r="AD233" i="25"/>
  <c r="AE233" i="25" s="1"/>
  <c r="U259" i="25"/>
  <c r="AD258" i="25"/>
  <c r="AE258" i="25" s="1"/>
  <c r="U218" i="25"/>
  <c r="AD217" i="25"/>
  <c r="AE217" i="25" s="1"/>
  <c r="U186" i="25"/>
  <c r="AD185" i="25"/>
  <c r="AE185" i="25" s="1"/>
  <c r="U154" i="25"/>
  <c r="AD153" i="25"/>
  <c r="AE153" i="25" s="1"/>
  <c r="U171" i="25"/>
  <c r="AD170" i="25"/>
  <c r="AE170" i="25" s="1"/>
  <c r="U88" i="25"/>
  <c r="AD87" i="25"/>
  <c r="AE87" i="25" s="1"/>
  <c r="U101" i="25"/>
  <c r="AD100" i="25"/>
  <c r="AE100" i="25" s="1"/>
  <c r="U197" i="25"/>
  <c r="AD196" i="25"/>
  <c r="AE196" i="25" s="1"/>
  <c r="U32" i="25"/>
  <c r="AD31" i="25"/>
  <c r="AE31" i="25" s="1"/>
  <c r="U563" i="25"/>
  <c r="AD562" i="25"/>
  <c r="AE562" i="25" s="1"/>
  <c r="U552" i="25"/>
  <c r="AD551" i="25"/>
  <c r="AE551" i="25" s="1"/>
  <c r="U422" i="25"/>
  <c r="AD421" i="25"/>
  <c r="AE421" i="25" s="1"/>
  <c r="U270" i="25"/>
  <c r="AD269" i="25"/>
  <c r="AE269" i="25" s="1"/>
  <c r="AD229" i="25"/>
  <c r="AE229" i="25" s="1"/>
  <c r="U230" i="25"/>
  <c r="U198" i="25"/>
  <c r="AD197" i="25"/>
  <c r="AE197" i="25" s="1"/>
  <c r="U166" i="25"/>
  <c r="AD165" i="25"/>
  <c r="AE165" i="25" s="1"/>
  <c r="U82" i="25"/>
  <c r="AD81" i="25"/>
  <c r="AE81" i="25" s="1"/>
  <c r="U117" i="25"/>
  <c r="AD116" i="25"/>
  <c r="AE116" i="25" s="1"/>
  <c r="U607" i="25"/>
  <c r="AD606" i="25"/>
  <c r="AE606" i="25" s="1"/>
  <c r="AD580" i="25"/>
  <c r="AE580" i="25" s="1"/>
  <c r="U581" i="25"/>
  <c r="U546" i="25"/>
  <c r="AD545" i="25"/>
  <c r="AE545" i="25" s="1"/>
  <c r="U502" i="25"/>
  <c r="AD501" i="25"/>
  <c r="AE501" i="25" s="1"/>
  <c r="U470" i="25"/>
  <c r="AD469" i="25"/>
  <c r="AE469" i="25" s="1"/>
  <c r="AD456" i="25"/>
  <c r="AE456" i="25" s="1"/>
  <c r="U457" i="25"/>
  <c r="U507" i="25"/>
  <c r="AD506" i="25"/>
  <c r="AE506" i="25" s="1"/>
  <c r="U399" i="25"/>
  <c r="AD398" i="25"/>
  <c r="AE398" i="25" s="1"/>
  <c r="U363" i="25"/>
  <c r="AD362" i="25"/>
  <c r="AE362" i="25" s="1"/>
  <c r="U350" i="25"/>
  <c r="AD349" i="25"/>
  <c r="AE349" i="25" s="1"/>
  <c r="AD268" i="25"/>
  <c r="AE268" i="25" s="1"/>
  <c r="U269" i="25"/>
  <c r="U233" i="25"/>
  <c r="AD232" i="25"/>
  <c r="AE232" i="25" s="1"/>
  <c r="U296" i="25"/>
  <c r="AD295" i="25"/>
  <c r="AE295" i="25" s="1"/>
  <c r="U183" i="25"/>
  <c r="AD182" i="25"/>
  <c r="AE182" i="25" s="1"/>
  <c r="U151" i="25"/>
  <c r="AD150" i="25"/>
  <c r="AE150" i="25" s="1"/>
  <c r="U96" i="25"/>
  <c r="AD95" i="25"/>
  <c r="AE95" i="25" s="1"/>
  <c r="U109" i="25"/>
  <c r="AD108" i="25"/>
  <c r="AE108" i="25" s="1"/>
  <c r="AD67" i="25"/>
  <c r="AE67" i="25" s="1"/>
  <c r="U68" i="25"/>
  <c r="U129" i="25"/>
  <c r="AD128" i="25"/>
  <c r="AE128" i="25" s="1"/>
  <c r="U119" i="25"/>
  <c r="AD118" i="25"/>
  <c r="AE118" i="25" s="1"/>
  <c r="U612" i="25"/>
  <c r="AD611" i="25"/>
  <c r="AE611" i="25" s="1"/>
  <c r="U370" i="25"/>
  <c r="AD369" i="25"/>
  <c r="AE369" i="25" s="1"/>
  <c r="U142" i="25"/>
  <c r="AD141" i="25"/>
  <c r="AE141" i="25" s="1"/>
  <c r="U596" i="25"/>
  <c r="AD595" i="25"/>
  <c r="AE595" i="25" s="1"/>
  <c r="AD576" i="25"/>
  <c r="AE576" i="25" s="1"/>
  <c r="U577" i="25"/>
  <c r="U526" i="25"/>
  <c r="AD525" i="25"/>
  <c r="AE525" i="25" s="1"/>
  <c r="U541" i="25"/>
  <c r="AD540" i="25"/>
  <c r="AE540" i="25" s="1"/>
  <c r="U498" i="25"/>
  <c r="AD497" i="25"/>
  <c r="AE497" i="25" s="1"/>
  <c r="U482" i="25"/>
  <c r="AD481" i="25"/>
  <c r="AE481" i="25" s="1"/>
  <c r="U437" i="25"/>
  <c r="AD436" i="25"/>
  <c r="AE436" i="25" s="1"/>
  <c r="U446" i="25"/>
  <c r="AD445" i="25"/>
  <c r="AE445" i="25" s="1"/>
  <c r="U516" i="25"/>
  <c r="AD515" i="25"/>
  <c r="AE515" i="25" s="1"/>
  <c r="U252" i="25"/>
  <c r="AD251" i="25"/>
  <c r="AE251" i="25" s="1"/>
  <c r="U313" i="25"/>
  <c r="AD312" i="25"/>
  <c r="AE312" i="25" s="1"/>
  <c r="AD139" i="25"/>
  <c r="AE139" i="25" s="1"/>
  <c r="U140" i="25"/>
  <c r="U288" i="25"/>
  <c r="AD287" i="25"/>
  <c r="AE287" i="25" s="1"/>
  <c r="AD252" i="25"/>
  <c r="AE252" i="25" s="1"/>
  <c r="U253" i="25"/>
  <c r="U78" i="25"/>
  <c r="AD77" i="25"/>
  <c r="AE77" i="25" s="1"/>
  <c r="U20" i="25"/>
  <c r="AD19" i="25"/>
  <c r="AE19" i="25" s="1"/>
  <c r="AD534" i="25"/>
  <c r="AE534" i="25" s="1"/>
  <c r="U535" i="25"/>
  <c r="U500" i="25"/>
  <c r="AD499" i="25"/>
  <c r="AE499" i="25" s="1"/>
  <c r="U361" i="25"/>
  <c r="AD360" i="25"/>
  <c r="AE360" i="25" s="1"/>
  <c r="AD261" i="25"/>
  <c r="AE261" i="25" s="1"/>
  <c r="U262" i="25"/>
  <c r="U150" i="25"/>
  <c r="AD149" i="25"/>
  <c r="AE149" i="25" s="1"/>
  <c r="AD607" i="25"/>
  <c r="AE607" i="25" s="1"/>
  <c r="U608" i="25"/>
  <c r="U595" i="25"/>
  <c r="AD594" i="25"/>
  <c r="AE594" i="25" s="1"/>
  <c r="U591" i="25"/>
  <c r="AD590" i="25"/>
  <c r="AE590" i="25" s="1"/>
  <c r="AD555" i="25"/>
  <c r="AE555" i="25" s="1"/>
  <c r="U556" i="25"/>
  <c r="U540" i="25"/>
  <c r="AD539" i="25"/>
  <c r="AE539" i="25" s="1"/>
  <c r="U566" i="25"/>
  <c r="AD565" i="25"/>
  <c r="AE565" i="25" s="1"/>
  <c r="U524" i="25"/>
  <c r="AD523" i="25"/>
  <c r="AE523" i="25" s="1"/>
  <c r="U513" i="25"/>
  <c r="AD512" i="25"/>
  <c r="AE512" i="25" s="1"/>
  <c r="U512" i="25"/>
  <c r="AD511" i="25"/>
  <c r="AE511" i="25" s="1"/>
  <c r="U496" i="25"/>
  <c r="AD495" i="25"/>
  <c r="AE495" i="25" s="1"/>
  <c r="AD479" i="25"/>
  <c r="AE479" i="25" s="1"/>
  <c r="U480" i="25"/>
  <c r="U467" i="25"/>
  <c r="AD466" i="25"/>
  <c r="AE466" i="25" s="1"/>
  <c r="U451" i="25"/>
  <c r="AD450" i="25"/>
  <c r="AE450" i="25" s="1"/>
  <c r="U435" i="25"/>
  <c r="AD434" i="25"/>
  <c r="AE434" i="25" s="1"/>
  <c r="U460" i="25"/>
  <c r="AD459" i="25"/>
  <c r="AE459" i="25" s="1"/>
  <c r="U444" i="25"/>
  <c r="AD443" i="25"/>
  <c r="AE443" i="25" s="1"/>
  <c r="AD365" i="25"/>
  <c r="AE365" i="25" s="1"/>
  <c r="U366" i="25"/>
  <c r="U392" i="25"/>
  <c r="AD391" i="25"/>
  <c r="AE391" i="25" s="1"/>
  <c r="U386" i="25"/>
  <c r="AD385" i="25"/>
  <c r="AE385" i="25" s="1"/>
  <c r="U308" i="25"/>
  <c r="AD307" i="25"/>
  <c r="AE307" i="25" s="1"/>
  <c r="U299" i="25"/>
  <c r="AD298" i="25"/>
  <c r="AE298" i="25" s="1"/>
  <c r="U505" i="25"/>
  <c r="AD504" i="25"/>
  <c r="AE504" i="25" s="1"/>
  <c r="U360" i="25"/>
  <c r="AD359" i="25"/>
  <c r="AE359" i="25" s="1"/>
  <c r="U344" i="25"/>
  <c r="AD343" i="25"/>
  <c r="AE343" i="25" s="1"/>
  <c r="AD325" i="25"/>
  <c r="AE325" i="25" s="1"/>
  <c r="U326" i="25"/>
  <c r="U303" i="25"/>
  <c r="AD302" i="25"/>
  <c r="AE302" i="25" s="1"/>
  <c r="U266" i="25"/>
  <c r="AD265" i="25"/>
  <c r="AE265" i="25" s="1"/>
  <c r="U250" i="25"/>
  <c r="AD249" i="25"/>
  <c r="AE249" i="25" s="1"/>
  <c r="U312" i="25"/>
  <c r="AD311" i="25"/>
  <c r="AE311" i="25" s="1"/>
  <c r="U202" i="25"/>
  <c r="AD201" i="25"/>
  <c r="AE201" i="25" s="1"/>
  <c r="U170" i="25"/>
  <c r="AD169" i="25"/>
  <c r="AE169" i="25" s="1"/>
  <c r="U138" i="25"/>
  <c r="AD137" i="25"/>
  <c r="AE137" i="25" s="1"/>
  <c r="U229" i="25"/>
  <c r="AD228" i="25"/>
  <c r="AE228" i="25" s="1"/>
  <c r="U203" i="25"/>
  <c r="AD202" i="25"/>
  <c r="AE202" i="25" s="1"/>
  <c r="U139" i="25"/>
  <c r="AD138" i="25"/>
  <c r="AE138" i="25" s="1"/>
  <c r="U107" i="25"/>
  <c r="AD106" i="25"/>
  <c r="AE106" i="25" s="1"/>
  <c r="U66" i="25"/>
  <c r="AD65" i="25"/>
  <c r="AE65" i="25" s="1"/>
  <c r="U65" i="25"/>
  <c r="AD64" i="25"/>
  <c r="AE64" i="25" s="1"/>
  <c r="U239" i="25"/>
  <c r="AD238" i="25"/>
  <c r="AE238" i="25" s="1"/>
  <c r="U60" i="25"/>
  <c r="AD59" i="25"/>
  <c r="AE59" i="25" s="1"/>
  <c r="U37" i="25"/>
  <c r="AD36" i="25"/>
  <c r="AE36" i="25" s="1"/>
  <c r="U42" i="25"/>
  <c r="AD41" i="25"/>
  <c r="AE41" i="25" s="1"/>
  <c r="U17" i="25"/>
  <c r="AD16" i="25"/>
  <c r="AE16" i="25" s="1"/>
  <c r="U87" i="25"/>
  <c r="AD86" i="25"/>
  <c r="AE86" i="25" s="1"/>
  <c r="U185" i="25"/>
  <c r="AD184" i="25"/>
  <c r="AE184" i="25" s="1"/>
  <c r="U590" i="25"/>
  <c r="AD589" i="25"/>
  <c r="AE589" i="25" s="1"/>
  <c r="U587" i="25"/>
  <c r="AD586" i="25"/>
  <c r="AE586" i="25" s="1"/>
  <c r="AD535" i="25"/>
  <c r="AE535" i="25" s="1"/>
  <c r="U536" i="25"/>
  <c r="U564" i="25"/>
  <c r="AD563" i="25"/>
  <c r="AE563" i="25" s="1"/>
  <c r="U508" i="25"/>
  <c r="AD507" i="25"/>
  <c r="AE507" i="25" s="1"/>
  <c r="U537" i="25"/>
  <c r="AD536" i="25"/>
  <c r="AE536" i="25" s="1"/>
  <c r="AD446" i="25"/>
  <c r="AE446" i="25" s="1"/>
  <c r="U447" i="25"/>
  <c r="U409" i="25"/>
  <c r="AD408" i="25"/>
  <c r="AE408" i="25" s="1"/>
  <c r="U424" i="25"/>
  <c r="AD423" i="25"/>
  <c r="AE423" i="25" s="1"/>
  <c r="U353" i="25"/>
  <c r="AD352" i="25"/>
  <c r="AE352" i="25" s="1"/>
  <c r="U324" i="25"/>
  <c r="AD323" i="25"/>
  <c r="AE323" i="25" s="1"/>
  <c r="U356" i="25"/>
  <c r="AD355" i="25"/>
  <c r="AE355" i="25" s="1"/>
  <c r="U134" i="25"/>
  <c r="AD133" i="25"/>
  <c r="AE133" i="25" s="1"/>
  <c r="U211" i="25"/>
  <c r="AD210" i="25"/>
  <c r="AE210" i="25" s="1"/>
  <c r="U131" i="25"/>
  <c r="AD130" i="25"/>
  <c r="AE130" i="25" s="1"/>
  <c r="U165" i="25"/>
  <c r="AD164" i="25"/>
  <c r="AE164" i="25" s="1"/>
  <c r="U23" i="25"/>
  <c r="AD22" i="25"/>
  <c r="AE22" i="25" s="1"/>
  <c r="U609" i="25"/>
  <c r="AD608" i="25"/>
  <c r="AE608" i="25" s="1"/>
  <c r="U597" i="25"/>
  <c r="AD596" i="25"/>
  <c r="AE596" i="25" s="1"/>
  <c r="U606" i="25"/>
  <c r="AD605" i="25"/>
  <c r="AE605" i="25" s="1"/>
  <c r="U584" i="25"/>
  <c r="AD583" i="25"/>
  <c r="AE583" i="25" s="1"/>
  <c r="U573" i="25"/>
  <c r="AD572" i="25"/>
  <c r="AE572" i="25" s="1"/>
  <c r="U519" i="25"/>
  <c r="AD518" i="25"/>
  <c r="AE518" i="25" s="1"/>
  <c r="U520" i="25"/>
  <c r="AD519" i="25"/>
  <c r="AE519" i="25" s="1"/>
  <c r="U486" i="25"/>
  <c r="AD485" i="25"/>
  <c r="AE485" i="25" s="1"/>
  <c r="U475" i="25"/>
  <c r="AD474" i="25"/>
  <c r="AE474" i="25" s="1"/>
  <c r="AD440" i="25"/>
  <c r="AE440" i="25" s="1"/>
  <c r="U441" i="25"/>
  <c r="U450" i="25"/>
  <c r="AD449" i="25"/>
  <c r="AE449" i="25" s="1"/>
  <c r="U434" i="25"/>
  <c r="AD433" i="25"/>
  <c r="AE433" i="25" s="1"/>
  <c r="U401" i="25"/>
  <c r="AD400" i="25"/>
  <c r="AE400" i="25" s="1"/>
  <c r="U416" i="25"/>
  <c r="AD415" i="25"/>
  <c r="AE415" i="25" s="1"/>
  <c r="AD371" i="25"/>
  <c r="AE371" i="25" s="1"/>
  <c r="U372" i="25"/>
  <c r="U377" i="25"/>
  <c r="AD376" i="25"/>
  <c r="AE376" i="25" s="1"/>
  <c r="U347" i="25"/>
  <c r="AD346" i="25"/>
  <c r="AE346" i="25" s="1"/>
  <c r="U316" i="25"/>
  <c r="AD315" i="25"/>
  <c r="AE315" i="25" s="1"/>
  <c r="U293" i="25"/>
  <c r="AD292" i="25"/>
  <c r="AE292" i="25" s="1"/>
  <c r="U307" i="25"/>
  <c r="AD306" i="25"/>
  <c r="AE306" i="25" s="1"/>
  <c r="AD333" i="25"/>
  <c r="AE333" i="25" s="1"/>
  <c r="U334" i="25"/>
  <c r="U272" i="25"/>
  <c r="AD271" i="25"/>
  <c r="AE271" i="25" s="1"/>
  <c r="AD255" i="25"/>
  <c r="AE255" i="25" s="1"/>
  <c r="U256" i="25"/>
  <c r="AD239" i="25"/>
  <c r="AE239" i="25" s="1"/>
  <c r="U240" i="25"/>
  <c r="U224" i="25"/>
  <c r="AD223" i="25"/>
  <c r="AE223" i="25" s="1"/>
  <c r="AD207" i="25"/>
  <c r="AE207" i="25" s="1"/>
  <c r="U208" i="25"/>
  <c r="AD191" i="25"/>
  <c r="AE191" i="25" s="1"/>
  <c r="U192" i="25"/>
  <c r="AD159" i="25"/>
  <c r="AE159" i="25" s="1"/>
  <c r="U160" i="25"/>
  <c r="AD143" i="25"/>
  <c r="AE143" i="25" s="1"/>
  <c r="U144" i="25"/>
  <c r="U305" i="25"/>
  <c r="AD304" i="25"/>
  <c r="AE304" i="25" s="1"/>
  <c r="U74" i="25"/>
  <c r="AD73" i="25"/>
  <c r="AE73" i="25" s="1"/>
  <c r="U35" i="25"/>
  <c r="AD34" i="25"/>
  <c r="AE34" i="25" s="1"/>
  <c r="U45" i="25"/>
  <c r="AD44" i="25"/>
  <c r="AE44" i="25" s="1"/>
  <c r="U51" i="25"/>
  <c r="AD50" i="25"/>
  <c r="AE50" i="25" s="1"/>
  <c r="AD25" i="25"/>
  <c r="AE25" i="25" s="1"/>
  <c r="U26" i="25"/>
  <c r="U137" i="25"/>
  <c r="AD136" i="25"/>
  <c r="AE136" i="25" s="1"/>
  <c r="U247" i="25"/>
  <c r="AD246" i="25"/>
  <c r="AE246" i="25" s="1"/>
  <c r="U15" i="25"/>
  <c r="AD14" i="25"/>
  <c r="AE14" i="25" s="1"/>
  <c r="U141" i="25"/>
  <c r="AD140" i="25"/>
  <c r="AE140" i="25" s="1"/>
  <c r="U531" i="25"/>
  <c r="AD530" i="25"/>
  <c r="AE530" i="25" s="1"/>
  <c r="U492" i="25"/>
  <c r="AD491" i="25"/>
  <c r="AE491" i="25" s="1"/>
  <c r="AD454" i="25"/>
  <c r="AE454" i="25" s="1"/>
  <c r="U455" i="25"/>
  <c r="U456" i="25"/>
  <c r="AD455" i="25"/>
  <c r="AE455" i="25" s="1"/>
  <c r="U369" i="25"/>
  <c r="AD368" i="25"/>
  <c r="AE368" i="25" s="1"/>
  <c r="U278" i="25"/>
  <c r="AD277" i="25"/>
  <c r="AE277" i="25" s="1"/>
  <c r="AD244" i="25"/>
  <c r="AE244" i="25" s="1"/>
  <c r="U245" i="25"/>
  <c r="U231" i="25"/>
  <c r="AD230" i="25"/>
  <c r="AE230" i="25" s="1"/>
  <c r="U147" i="25"/>
  <c r="AD146" i="25"/>
  <c r="AE146" i="25" s="1"/>
  <c r="U59" i="25"/>
  <c r="AD58" i="25"/>
  <c r="AE58" i="25" s="1"/>
  <c r="U81" i="25"/>
  <c r="AD80" i="25"/>
  <c r="AE80" i="25" s="1"/>
  <c r="AD107" i="25"/>
  <c r="AE107" i="25" s="1"/>
  <c r="U108" i="25"/>
  <c r="U95" i="25"/>
  <c r="AD94" i="25"/>
  <c r="AE94" i="25" s="1"/>
  <c r="U118" i="25"/>
  <c r="AD117" i="25"/>
  <c r="AE117" i="25" s="1"/>
  <c r="U19" i="25"/>
  <c r="AD18" i="25"/>
  <c r="AE18" i="25" s="1"/>
  <c r="U542" i="25"/>
  <c r="AD541" i="25"/>
  <c r="AE541" i="25" s="1"/>
  <c r="U574" i="25"/>
  <c r="AD573" i="25"/>
  <c r="AE573" i="25" s="1"/>
  <c r="AD514" i="25"/>
  <c r="AE514" i="25" s="1"/>
  <c r="U515" i="25"/>
  <c r="U511" i="25"/>
  <c r="AD510" i="25"/>
  <c r="AE510" i="25" s="1"/>
  <c r="U491" i="25"/>
  <c r="AD490" i="25"/>
  <c r="AE490" i="25" s="1"/>
  <c r="U462" i="25"/>
  <c r="AD461" i="25"/>
  <c r="AE461" i="25" s="1"/>
  <c r="U430" i="25"/>
  <c r="AD429" i="25"/>
  <c r="AE429" i="25" s="1"/>
  <c r="U411" i="25"/>
  <c r="AD410" i="25"/>
  <c r="AE410" i="25" s="1"/>
  <c r="U368" i="25"/>
  <c r="AD367" i="25"/>
  <c r="AE367" i="25" s="1"/>
  <c r="U393" i="25"/>
  <c r="AD392" i="25"/>
  <c r="AE392" i="25" s="1"/>
  <c r="U359" i="25"/>
  <c r="AD358" i="25"/>
  <c r="AE358" i="25" s="1"/>
  <c r="U387" i="25"/>
  <c r="AD386" i="25"/>
  <c r="AE386" i="25" s="1"/>
  <c r="U332" i="25"/>
  <c r="AD331" i="25"/>
  <c r="AE331" i="25" s="1"/>
  <c r="U309" i="25"/>
  <c r="AD308" i="25"/>
  <c r="AE308" i="25" s="1"/>
  <c r="U362" i="25"/>
  <c r="AD361" i="25"/>
  <c r="AE361" i="25" s="1"/>
  <c r="U346" i="25"/>
  <c r="AD345" i="25"/>
  <c r="AE345" i="25" s="1"/>
  <c r="U323" i="25"/>
  <c r="AD322" i="25"/>
  <c r="AE322" i="25" s="1"/>
  <c r="U282" i="25"/>
  <c r="AD281" i="25"/>
  <c r="AE281" i="25" s="1"/>
  <c r="U265" i="25"/>
  <c r="AD264" i="25"/>
  <c r="AE264" i="25" s="1"/>
  <c r="U327" i="25"/>
  <c r="AD326" i="25"/>
  <c r="AE326" i="25" s="1"/>
  <c r="U286" i="25"/>
  <c r="AD285" i="25"/>
  <c r="AE285" i="25" s="1"/>
  <c r="U236" i="25"/>
  <c r="AD235" i="25"/>
  <c r="AE235" i="25" s="1"/>
  <c r="U220" i="25"/>
  <c r="AD219" i="25"/>
  <c r="AE219" i="25" s="1"/>
  <c r="AD187" i="25"/>
  <c r="AE187" i="25" s="1"/>
  <c r="U188" i="25"/>
  <c r="AD171" i="25"/>
  <c r="AE171" i="25" s="1"/>
  <c r="U172" i="25"/>
  <c r="AD155" i="25"/>
  <c r="AE155" i="25" s="1"/>
  <c r="U156" i="25"/>
  <c r="AD123" i="25"/>
  <c r="AE123" i="25" s="1"/>
  <c r="U124" i="25"/>
  <c r="U249" i="25"/>
  <c r="AD248" i="25"/>
  <c r="AE248" i="25" s="1"/>
  <c r="U263" i="25"/>
  <c r="AD262" i="25"/>
  <c r="AE262" i="25" s="1"/>
  <c r="U207" i="25"/>
  <c r="AD206" i="25"/>
  <c r="AE206" i="25" s="1"/>
  <c r="U175" i="25"/>
  <c r="AD174" i="25"/>
  <c r="AE174" i="25" s="1"/>
  <c r="U143" i="25"/>
  <c r="AD142" i="25"/>
  <c r="AE142" i="25" s="1"/>
  <c r="U90" i="25"/>
  <c r="AD89" i="25"/>
  <c r="AE89" i="25" s="1"/>
  <c r="U67" i="25"/>
  <c r="AD66" i="25"/>
  <c r="AE66" i="25" s="1"/>
  <c r="U112" i="25"/>
  <c r="AD111" i="25"/>
  <c r="AE111" i="25" s="1"/>
  <c r="U89" i="25"/>
  <c r="AD88" i="25"/>
  <c r="AE88" i="25" s="1"/>
  <c r="U48" i="25"/>
  <c r="AD47" i="25"/>
  <c r="AE47" i="25" s="1"/>
  <c r="AD83" i="25"/>
  <c r="AE83" i="25" s="1"/>
  <c r="U84" i="25"/>
  <c r="U61" i="25"/>
  <c r="AD60" i="25"/>
  <c r="AE60" i="25" s="1"/>
  <c r="U43" i="25"/>
  <c r="AD42" i="25"/>
  <c r="AE42" i="25" s="1"/>
  <c r="U94" i="25"/>
  <c r="AD93" i="25"/>
  <c r="AE93" i="25" s="1"/>
  <c r="U79" i="25"/>
  <c r="AD78" i="25"/>
  <c r="AE78" i="25" s="1"/>
  <c r="U213" i="25"/>
  <c r="AD212" i="25"/>
  <c r="AE212" i="25" s="1"/>
  <c r="U103" i="25"/>
  <c r="AD102" i="25"/>
  <c r="AE102" i="25" s="1"/>
  <c r="U30" i="25"/>
  <c r="AD29" i="25"/>
  <c r="AE29" i="25" s="1"/>
  <c r="U217" i="25"/>
  <c r="AD216" i="25"/>
  <c r="AE216" i="25" s="1"/>
  <c r="U485" i="25"/>
  <c r="AD484" i="25"/>
  <c r="AE484" i="25" s="1"/>
  <c r="U418" i="25"/>
  <c r="AD417" i="25"/>
  <c r="AE417" i="25" s="1"/>
  <c r="U338" i="25"/>
  <c r="AD337" i="25"/>
  <c r="AE337" i="25" s="1"/>
  <c r="U214" i="25"/>
  <c r="AD213" i="25"/>
  <c r="AE213" i="25" s="1"/>
  <c r="U241" i="25"/>
  <c r="AD240" i="25"/>
  <c r="AE240" i="25" s="1"/>
  <c r="U163" i="25"/>
  <c r="AD162" i="25"/>
  <c r="AE162" i="25" s="1"/>
  <c r="U62" i="25"/>
  <c r="AD61" i="25"/>
  <c r="AE61" i="25" s="1"/>
  <c r="U33" i="25"/>
  <c r="AD32" i="25"/>
  <c r="AE32" i="25" s="1"/>
  <c r="U593" i="25"/>
  <c r="AD592" i="25"/>
  <c r="AE592" i="25" s="1"/>
  <c r="AD463" i="25"/>
  <c r="AE463" i="25" s="1"/>
  <c r="U464" i="25"/>
  <c r="U497" i="25"/>
  <c r="AD496" i="25"/>
  <c r="AE496" i="25" s="1"/>
  <c r="U357" i="25"/>
  <c r="AD356" i="25"/>
  <c r="AE356" i="25" s="1"/>
  <c r="U322" i="25"/>
  <c r="AD321" i="25"/>
  <c r="AE321" i="25" s="1"/>
  <c r="U122" i="25"/>
  <c r="AD121" i="25"/>
  <c r="AE121" i="25" s="1"/>
  <c r="U209" i="25"/>
  <c r="AD208" i="25"/>
  <c r="AE208" i="25" s="1"/>
  <c r="U102" i="25"/>
  <c r="AD101" i="25"/>
  <c r="AE101" i="25" s="1"/>
  <c r="U560" i="25"/>
  <c r="AD559" i="25"/>
  <c r="AE559" i="25" s="1"/>
  <c r="U551" i="25"/>
  <c r="AD550" i="25"/>
  <c r="AE550" i="25" s="1"/>
  <c r="U440" i="25"/>
  <c r="AD439" i="25"/>
  <c r="AE439" i="25" s="1"/>
  <c r="U413" i="25"/>
  <c r="AD412" i="25"/>
  <c r="AE412" i="25" s="1"/>
  <c r="U283" i="25"/>
  <c r="AD282" i="25"/>
  <c r="AE282" i="25" s="1"/>
  <c r="U310" i="25"/>
  <c r="AD309" i="25"/>
  <c r="AE309" i="25" s="1"/>
  <c r="U243" i="25"/>
  <c r="AD242" i="25"/>
  <c r="AE242" i="25" s="1"/>
  <c r="AD75" i="25"/>
  <c r="AE75" i="25" s="1"/>
  <c r="U76" i="25"/>
  <c r="U177" i="25"/>
  <c r="AD176" i="25"/>
  <c r="AE176" i="25" s="1"/>
  <c r="U71" i="25"/>
  <c r="AD70" i="25"/>
  <c r="AE70" i="25" s="1"/>
  <c r="AD556" i="25"/>
  <c r="AE556" i="25" s="1"/>
  <c r="U557" i="25"/>
  <c r="AD529" i="25"/>
  <c r="AE529" i="25" s="1"/>
  <c r="U530" i="25"/>
  <c r="U493" i="25"/>
  <c r="AD492" i="25"/>
  <c r="AE492" i="25" s="1"/>
  <c r="U330" i="25"/>
  <c r="AD329" i="25"/>
  <c r="AE329" i="25" s="1"/>
  <c r="U311" i="25"/>
  <c r="AD310" i="25"/>
  <c r="AE310" i="25" s="1"/>
  <c r="AD175" i="25"/>
  <c r="AE175" i="25" s="1"/>
  <c r="U176" i="25"/>
  <c r="AD127" i="25"/>
  <c r="AE127" i="25" s="1"/>
  <c r="U128" i="25"/>
  <c r="U237" i="25"/>
  <c r="AD236" i="25"/>
  <c r="AE236" i="25" s="1"/>
  <c r="U215" i="25"/>
  <c r="AD214" i="25"/>
  <c r="AE214" i="25" s="1"/>
  <c r="U115" i="25"/>
  <c r="AD114" i="25"/>
  <c r="AE114" i="25" s="1"/>
  <c r="U73" i="25"/>
  <c r="AD72" i="25"/>
  <c r="AE72" i="25" s="1"/>
  <c r="U348" i="25"/>
  <c r="AD347" i="25"/>
  <c r="AE347" i="25" s="1"/>
  <c r="U206" i="25"/>
  <c r="AD205" i="25"/>
  <c r="AE205" i="25" s="1"/>
  <c r="U610" i="25"/>
  <c r="AD609" i="25"/>
  <c r="AE609" i="25" s="1"/>
  <c r="U594" i="25"/>
  <c r="AD593" i="25"/>
  <c r="AE593" i="25" s="1"/>
  <c r="U569" i="25"/>
  <c r="AD568" i="25"/>
  <c r="AE568" i="25" s="1"/>
  <c r="AD465" i="25"/>
  <c r="AE465" i="25" s="1"/>
  <c r="U466" i="25"/>
  <c r="U453" i="25"/>
  <c r="AD452" i="25"/>
  <c r="AE452" i="25" s="1"/>
  <c r="U417" i="25"/>
  <c r="AD416" i="25"/>
  <c r="AE416" i="25" s="1"/>
  <c r="U388" i="25"/>
  <c r="AD387" i="25"/>
  <c r="AE387" i="25" s="1"/>
  <c r="U268" i="25"/>
  <c r="AD267" i="25"/>
  <c r="AE267" i="25" s="1"/>
  <c r="AD203" i="25"/>
  <c r="AE203" i="25" s="1"/>
  <c r="U204" i="25"/>
  <c r="AD462" i="25"/>
  <c r="AE462" i="25" s="1"/>
  <c r="U463" i="25"/>
  <c r="U415" i="25"/>
  <c r="AD414" i="25"/>
  <c r="AE414" i="25" s="1"/>
  <c r="U380" i="25"/>
  <c r="AD379" i="25"/>
  <c r="AE379" i="25" s="1"/>
  <c r="U292" i="25"/>
  <c r="AD291" i="25"/>
  <c r="AE291" i="25" s="1"/>
  <c r="AD274" i="25"/>
  <c r="AE274" i="25" s="1"/>
  <c r="U275" i="25"/>
  <c r="U281" i="25"/>
  <c r="AD280" i="25"/>
  <c r="AE280" i="25" s="1"/>
  <c r="U72" i="25"/>
  <c r="AD71" i="25"/>
  <c r="AE71" i="25" s="1"/>
  <c r="AD610" i="25"/>
  <c r="AE610" i="25" s="1"/>
  <c r="U611" i="25"/>
  <c r="U599" i="25"/>
  <c r="AD598" i="25"/>
  <c r="AE598" i="25" s="1"/>
  <c r="AD585" i="25"/>
  <c r="AE585" i="25" s="1"/>
  <c r="U586" i="25"/>
  <c r="U575" i="25"/>
  <c r="AD574" i="25"/>
  <c r="AE574" i="25" s="1"/>
  <c r="AD558" i="25"/>
  <c r="AE558" i="25" s="1"/>
  <c r="U559" i="25"/>
  <c r="U568" i="25"/>
  <c r="AD567" i="25"/>
  <c r="AE567" i="25" s="1"/>
  <c r="U548" i="25"/>
  <c r="AD547" i="25"/>
  <c r="AE547" i="25" s="1"/>
  <c r="U532" i="25"/>
  <c r="AD531" i="25"/>
  <c r="AE531" i="25" s="1"/>
  <c r="AD524" i="25"/>
  <c r="AE524" i="25" s="1"/>
  <c r="U525" i="25"/>
  <c r="U539" i="25"/>
  <c r="AD538" i="25"/>
  <c r="AE538" i="25" s="1"/>
  <c r="U488" i="25"/>
  <c r="AD487" i="25"/>
  <c r="AE487" i="25" s="1"/>
  <c r="AD471" i="25"/>
  <c r="AE471" i="25" s="1"/>
  <c r="U472" i="25"/>
  <c r="U501" i="25"/>
  <c r="AD500" i="25"/>
  <c r="AE500" i="25" s="1"/>
  <c r="U469" i="25"/>
  <c r="AD468" i="25"/>
  <c r="AE468" i="25" s="1"/>
  <c r="U473" i="25"/>
  <c r="AD472" i="25"/>
  <c r="AE472" i="25" s="1"/>
  <c r="U425" i="25"/>
  <c r="AD424" i="25"/>
  <c r="AE424" i="25" s="1"/>
  <c r="U419" i="25"/>
  <c r="AD418" i="25"/>
  <c r="AE418" i="25" s="1"/>
  <c r="U396" i="25"/>
  <c r="AD395" i="25"/>
  <c r="AE395" i="25" s="1"/>
  <c r="U365" i="25"/>
  <c r="AD364" i="25"/>
  <c r="AE364" i="25" s="1"/>
  <c r="U340" i="25"/>
  <c r="AD339" i="25"/>
  <c r="AE339" i="25" s="1"/>
  <c r="U331" i="25"/>
  <c r="AD330" i="25"/>
  <c r="AE330" i="25" s="1"/>
  <c r="U290" i="25"/>
  <c r="AD289" i="25"/>
  <c r="AE289" i="25" s="1"/>
  <c r="U271" i="25"/>
  <c r="AD270" i="25"/>
  <c r="AE270" i="25" s="1"/>
  <c r="U335" i="25"/>
  <c r="AD334" i="25"/>
  <c r="AE334" i="25" s="1"/>
  <c r="AD293" i="25"/>
  <c r="AE293" i="25" s="1"/>
  <c r="U294" i="25"/>
  <c r="U274" i="25"/>
  <c r="AD273" i="25"/>
  <c r="AE273" i="25" s="1"/>
  <c r="U258" i="25"/>
  <c r="AD257" i="25"/>
  <c r="AE257" i="25" s="1"/>
  <c r="U210" i="25"/>
  <c r="AD209" i="25"/>
  <c r="AE209" i="25" s="1"/>
  <c r="U194" i="25"/>
  <c r="AD193" i="25"/>
  <c r="AE193" i="25" s="1"/>
  <c r="U178" i="25"/>
  <c r="AD177" i="25"/>
  <c r="AE177" i="25" s="1"/>
  <c r="U162" i="25"/>
  <c r="AD161" i="25"/>
  <c r="AE161" i="25" s="1"/>
  <c r="U146" i="25"/>
  <c r="AD145" i="25"/>
  <c r="AE145" i="25" s="1"/>
  <c r="U130" i="25"/>
  <c r="AD129" i="25"/>
  <c r="AE129" i="25" s="1"/>
  <c r="U320" i="25"/>
  <c r="AD319" i="25"/>
  <c r="AE319" i="25" s="1"/>
  <c r="U261" i="25"/>
  <c r="AD260" i="25"/>
  <c r="AE260" i="25" s="1"/>
  <c r="U155" i="25"/>
  <c r="AD154" i="25"/>
  <c r="AE154" i="25" s="1"/>
  <c r="U123" i="25"/>
  <c r="AD122" i="25"/>
  <c r="AE122" i="25" s="1"/>
  <c r="U98" i="25"/>
  <c r="AD97" i="25"/>
  <c r="AE97" i="25" s="1"/>
  <c r="U75" i="25"/>
  <c r="AD74" i="25"/>
  <c r="AE74" i="25" s="1"/>
  <c r="U97" i="25"/>
  <c r="AD96" i="25"/>
  <c r="AE96" i="25" s="1"/>
  <c r="AD55" i="25"/>
  <c r="AE55" i="25" s="1"/>
  <c r="U56" i="25"/>
  <c r="U297" i="25"/>
  <c r="AD296" i="25"/>
  <c r="AE296" i="25" s="1"/>
  <c r="U92" i="25"/>
  <c r="AD91" i="25"/>
  <c r="AE91" i="25" s="1"/>
  <c r="U69" i="25"/>
  <c r="AD68" i="25"/>
  <c r="AE68" i="25" s="1"/>
  <c r="U39" i="25"/>
  <c r="AD38" i="25"/>
  <c r="AE38" i="25" s="1"/>
  <c r="U169" i="25"/>
  <c r="AD168" i="25"/>
  <c r="AE168" i="25" s="1"/>
  <c r="U133" i="25"/>
  <c r="AD132" i="25"/>
  <c r="AE132" i="25" s="1"/>
  <c r="U157" i="25"/>
  <c r="AD156" i="25"/>
  <c r="AE156" i="25" s="1"/>
  <c r="U603" i="25"/>
  <c r="AD602" i="25"/>
  <c r="AE602" i="25" s="1"/>
  <c r="U604" i="25"/>
  <c r="AD603" i="25"/>
  <c r="AE603" i="25" s="1"/>
  <c r="U602" i="25"/>
  <c r="AD601" i="25"/>
  <c r="AE601" i="25" s="1"/>
  <c r="AD578" i="25"/>
  <c r="AE578" i="25" s="1"/>
  <c r="U579" i="25"/>
  <c r="U571" i="25"/>
  <c r="AD570" i="25"/>
  <c r="AE570" i="25" s="1"/>
  <c r="U600" i="25"/>
  <c r="AD599" i="25"/>
  <c r="AE599" i="25" s="1"/>
  <c r="U562" i="25"/>
  <c r="AD561" i="25"/>
  <c r="AE561" i="25" s="1"/>
  <c r="U544" i="25"/>
  <c r="AD543" i="25"/>
  <c r="AE543" i="25" s="1"/>
  <c r="U572" i="25"/>
  <c r="AD571" i="25"/>
  <c r="AE571" i="25" s="1"/>
  <c r="U555" i="25"/>
  <c r="AD554" i="25"/>
  <c r="AE554" i="25" s="1"/>
  <c r="U484" i="25"/>
  <c r="AD483" i="25"/>
  <c r="AE483" i="25" s="1"/>
  <c r="AD430" i="25"/>
  <c r="AE430" i="25" s="1"/>
  <c r="U431" i="25"/>
  <c r="U448" i="25"/>
  <c r="AD447" i="25"/>
  <c r="AE447" i="25" s="1"/>
  <c r="U301" i="25"/>
  <c r="AD300" i="25"/>
  <c r="AE300" i="25" s="1"/>
  <c r="U395" i="25"/>
  <c r="AD394" i="25"/>
  <c r="AE394" i="25" s="1"/>
  <c r="U342" i="25"/>
  <c r="AD341" i="25"/>
  <c r="AE341" i="25" s="1"/>
  <c r="U287" i="25"/>
  <c r="AD286" i="25"/>
  <c r="AE286" i="25" s="1"/>
  <c r="U222" i="25"/>
  <c r="AD221" i="25"/>
  <c r="AE221" i="25" s="1"/>
  <c r="U190" i="25"/>
  <c r="AD189" i="25"/>
  <c r="AE189" i="25" s="1"/>
  <c r="U158" i="25"/>
  <c r="AD157" i="25"/>
  <c r="AE157" i="25" s="1"/>
  <c r="U304" i="25"/>
  <c r="AD303" i="25"/>
  <c r="AE303" i="25" s="1"/>
  <c r="U179" i="25"/>
  <c r="AD178" i="25"/>
  <c r="AE178" i="25" s="1"/>
  <c r="AD43" i="25"/>
  <c r="AE43" i="25" s="1"/>
  <c r="U44" i="25"/>
  <c r="U34" i="25"/>
  <c r="AD33" i="25"/>
  <c r="AE33" i="25" s="1"/>
  <c r="AD37" i="25"/>
  <c r="AE37" i="25" s="1"/>
  <c r="U38" i="25"/>
  <c r="U14" i="25"/>
  <c r="AD13" i="25"/>
  <c r="U565" i="25"/>
  <c r="AD564" i="25"/>
  <c r="AE564" i="25" s="1"/>
  <c r="U582" i="25"/>
  <c r="AD581" i="25"/>
  <c r="AE581" i="25" s="1"/>
  <c r="U554" i="25"/>
  <c r="AD553" i="25"/>
  <c r="AE553" i="25" s="1"/>
  <c r="U533" i="25"/>
  <c r="AD532" i="25"/>
  <c r="AE532" i="25" s="1"/>
  <c r="U580" i="25"/>
  <c r="AD579" i="25"/>
  <c r="AE579" i="25" s="1"/>
  <c r="U527" i="25"/>
  <c r="AD526" i="25"/>
  <c r="AE526" i="25" s="1"/>
  <c r="U510" i="25"/>
  <c r="AD509" i="25"/>
  <c r="AE509" i="25" s="1"/>
  <c r="U553" i="25"/>
  <c r="AD552" i="25"/>
  <c r="AE552" i="25" s="1"/>
  <c r="U477" i="25"/>
  <c r="AD476" i="25"/>
  <c r="AE476" i="25" s="1"/>
  <c r="U495" i="25"/>
  <c r="AD494" i="25"/>
  <c r="AE494" i="25" s="1"/>
  <c r="AD448" i="25"/>
  <c r="AE448" i="25" s="1"/>
  <c r="U449" i="25"/>
  <c r="U479" i="25"/>
  <c r="AD478" i="25"/>
  <c r="AE478" i="25" s="1"/>
  <c r="U489" i="25"/>
  <c r="AD488" i="25"/>
  <c r="AE488" i="25" s="1"/>
  <c r="U410" i="25"/>
  <c r="AD409" i="25"/>
  <c r="AE409" i="25" s="1"/>
  <c r="U483" i="25"/>
  <c r="AD482" i="25"/>
  <c r="AE482" i="25" s="1"/>
  <c r="U428" i="25"/>
  <c r="AD427" i="25"/>
  <c r="AE427" i="25" s="1"/>
  <c r="AD426" i="25"/>
  <c r="AE426" i="25" s="1"/>
  <c r="U427" i="25"/>
  <c r="U404" i="25"/>
  <c r="AD403" i="25"/>
  <c r="AE403" i="25" s="1"/>
  <c r="U414" i="25"/>
  <c r="AD413" i="25"/>
  <c r="AE413" i="25" s="1"/>
  <c r="U390" i="25"/>
  <c r="AD389" i="25"/>
  <c r="AE389" i="25" s="1"/>
  <c r="U405" i="25"/>
  <c r="AD404" i="25"/>
  <c r="AE404" i="25" s="1"/>
  <c r="U381" i="25"/>
  <c r="AD380" i="25"/>
  <c r="AE380" i="25" s="1"/>
  <c r="U371" i="25"/>
  <c r="AD370" i="25"/>
  <c r="AE370" i="25" s="1"/>
  <c r="AD357" i="25"/>
  <c r="AE357" i="25" s="1"/>
  <c r="U358" i="25"/>
  <c r="U298" i="25"/>
  <c r="AD297" i="25"/>
  <c r="AE297" i="25" s="1"/>
  <c r="AD276" i="25"/>
  <c r="AE276" i="25" s="1"/>
  <c r="U277" i="25"/>
  <c r="U343" i="25"/>
  <c r="AD342" i="25"/>
  <c r="AE342" i="25" s="1"/>
  <c r="U279" i="25"/>
  <c r="AD278" i="25"/>
  <c r="AE278" i="25" s="1"/>
  <c r="AD247" i="25"/>
  <c r="AE247" i="25" s="1"/>
  <c r="U248" i="25"/>
  <c r="U235" i="25"/>
  <c r="AD234" i="25"/>
  <c r="AE234" i="25" s="1"/>
  <c r="AD215" i="25"/>
  <c r="AE215" i="25" s="1"/>
  <c r="U216" i="25"/>
  <c r="AD183" i="25"/>
  <c r="AE183" i="25" s="1"/>
  <c r="U184" i="25"/>
  <c r="AD151" i="25"/>
  <c r="AE151" i="25" s="1"/>
  <c r="U152" i="25"/>
  <c r="AD119" i="25"/>
  <c r="AE119" i="25" s="1"/>
  <c r="U120" i="25"/>
  <c r="U106" i="25"/>
  <c r="AD105" i="25"/>
  <c r="AE105" i="25" s="1"/>
  <c r="U83" i="25"/>
  <c r="AD82" i="25"/>
  <c r="AE82" i="25" s="1"/>
  <c r="U255" i="25"/>
  <c r="AD254" i="25"/>
  <c r="AE254" i="25" s="1"/>
  <c r="U64" i="25"/>
  <c r="AD63" i="25"/>
  <c r="AE63" i="25" s="1"/>
  <c r="U100" i="25"/>
  <c r="AD99" i="25"/>
  <c r="AE99" i="25" s="1"/>
  <c r="U77" i="25"/>
  <c r="AD76" i="25"/>
  <c r="AE76" i="25" s="1"/>
  <c r="U36" i="25"/>
  <c r="AD35" i="25"/>
  <c r="AE35" i="25" s="1"/>
  <c r="U63" i="25"/>
  <c r="AD62" i="25"/>
  <c r="AE62" i="25" s="1"/>
  <c r="U16" i="25"/>
  <c r="AD15" i="25"/>
  <c r="AE15" i="25" s="1"/>
  <c r="U46" i="25"/>
  <c r="AD45" i="25"/>
  <c r="AE45" i="25" s="1"/>
  <c r="U181" i="25"/>
  <c r="AD180" i="25"/>
  <c r="AE180" i="25" s="1"/>
  <c r="U25" i="25"/>
  <c r="AD24" i="25"/>
  <c r="AE24" i="25" s="1"/>
  <c r="U153" i="25"/>
  <c r="AD152" i="25"/>
  <c r="AE152" i="25" s="1"/>
  <c r="U549" i="25"/>
  <c r="AD548" i="25"/>
  <c r="AE548" i="25" s="1"/>
  <c r="U499" i="25"/>
  <c r="AD498" i="25"/>
  <c r="AE498" i="25" s="1"/>
  <c r="U432" i="25"/>
  <c r="AD431" i="25"/>
  <c r="AE431" i="25" s="1"/>
  <c r="AD402" i="25"/>
  <c r="AE402" i="25" s="1"/>
  <c r="U403" i="25"/>
  <c r="U375" i="25"/>
  <c r="AD374" i="25"/>
  <c r="AE374" i="25" s="1"/>
  <c r="U345" i="25"/>
  <c r="AD344" i="25"/>
  <c r="AE344" i="25" s="1"/>
  <c r="AD266" i="25"/>
  <c r="AE266" i="25" s="1"/>
  <c r="U267" i="25"/>
  <c r="U289" i="25"/>
  <c r="AD288" i="25"/>
  <c r="AE288" i="25" s="1"/>
  <c r="U195" i="25"/>
  <c r="AD194" i="25"/>
  <c r="AE194" i="25" s="1"/>
  <c r="U104" i="25"/>
  <c r="AD103" i="25"/>
  <c r="AE103" i="25" s="1"/>
  <c r="U121" i="25"/>
  <c r="AD120" i="25"/>
  <c r="AE120" i="25" s="1"/>
  <c r="U189" i="25"/>
  <c r="AD188" i="25"/>
  <c r="AE188" i="25" s="1"/>
  <c r="U21" i="25"/>
  <c r="AD20" i="25"/>
  <c r="AE20" i="25" s="1"/>
  <c r="U601" i="25"/>
  <c r="AD600" i="25"/>
  <c r="AE600" i="25" s="1"/>
  <c r="U585" i="25"/>
  <c r="AD584" i="25"/>
  <c r="AE584" i="25" s="1"/>
  <c r="U561" i="25"/>
  <c r="AD560" i="25"/>
  <c r="AE560" i="25" s="1"/>
  <c r="U534" i="25"/>
  <c r="AD533" i="25"/>
  <c r="AE533" i="25" s="1"/>
  <c r="U543" i="25"/>
  <c r="AD542" i="25"/>
  <c r="AE542" i="25" s="1"/>
  <c r="U523" i="25"/>
  <c r="AD522" i="25"/>
  <c r="AE522" i="25" s="1"/>
  <c r="U506" i="25"/>
  <c r="AD505" i="25"/>
  <c r="AE505" i="25" s="1"/>
  <c r="AD473" i="25"/>
  <c r="AE473" i="25" s="1"/>
  <c r="U474" i="25"/>
  <c r="U518" i="25"/>
  <c r="AD517" i="25"/>
  <c r="AE517" i="25" s="1"/>
  <c r="U509" i="25"/>
  <c r="AD508" i="25"/>
  <c r="AE508" i="25" s="1"/>
  <c r="U461" i="25"/>
  <c r="AD460" i="25"/>
  <c r="AE460" i="25" s="1"/>
  <c r="U445" i="25"/>
  <c r="AD444" i="25"/>
  <c r="AE444" i="25" s="1"/>
  <c r="U429" i="25"/>
  <c r="AD428" i="25"/>
  <c r="AE428" i="25" s="1"/>
  <c r="U438" i="25"/>
  <c r="AD437" i="25"/>
  <c r="AE437" i="25" s="1"/>
  <c r="U426" i="25"/>
  <c r="AD425" i="25"/>
  <c r="AE425" i="25" s="1"/>
  <c r="U423" i="25"/>
  <c r="AD422" i="25"/>
  <c r="AE422" i="25" s="1"/>
  <c r="U420" i="25"/>
  <c r="AD419" i="25"/>
  <c r="AE419" i="25" s="1"/>
  <c r="U383" i="25"/>
  <c r="AD382" i="25"/>
  <c r="AE382" i="25" s="1"/>
  <c r="U421" i="25"/>
  <c r="AD420" i="25"/>
  <c r="AE420" i="25" s="1"/>
  <c r="U300" i="25"/>
  <c r="AD299" i="25"/>
  <c r="AE299" i="25" s="1"/>
  <c r="U378" i="25"/>
  <c r="AD377" i="25"/>
  <c r="AE377" i="25" s="1"/>
  <c r="U291" i="25"/>
  <c r="AD290" i="25"/>
  <c r="AE290" i="25" s="1"/>
  <c r="U273" i="25"/>
  <c r="AD272" i="25"/>
  <c r="AE272" i="25" s="1"/>
  <c r="U318" i="25"/>
  <c r="AD317" i="25"/>
  <c r="AE317" i="25" s="1"/>
  <c r="U276" i="25"/>
  <c r="AD275" i="25"/>
  <c r="AE275" i="25" s="1"/>
  <c r="U251" i="25"/>
  <c r="AD250" i="25"/>
  <c r="AE250" i="25" s="1"/>
  <c r="AD195" i="25"/>
  <c r="AE195" i="25" s="1"/>
  <c r="U196" i="25"/>
  <c r="AD163" i="25"/>
  <c r="AE163" i="25" s="1"/>
  <c r="U164" i="25"/>
  <c r="AD131" i="25"/>
  <c r="AE131" i="25" s="1"/>
  <c r="U132" i="25"/>
  <c r="U321" i="25"/>
  <c r="AD320" i="25"/>
  <c r="AE320" i="25" s="1"/>
  <c r="U221" i="25"/>
  <c r="AD220" i="25"/>
  <c r="AE220" i="25" s="1"/>
  <c r="U191" i="25"/>
  <c r="AD190" i="25"/>
  <c r="AE190" i="25" s="1"/>
  <c r="U159" i="25"/>
  <c r="AD158" i="25"/>
  <c r="AE158" i="25" s="1"/>
  <c r="U127" i="25"/>
  <c r="AD126" i="25"/>
  <c r="AE126" i="25" s="1"/>
  <c r="U58" i="25"/>
  <c r="AD57" i="25"/>
  <c r="AE57" i="25" s="1"/>
  <c r="U223" i="25"/>
  <c r="AD222" i="25"/>
  <c r="AE222" i="25" s="1"/>
  <c r="U80" i="25"/>
  <c r="AD79" i="25"/>
  <c r="AE79" i="25" s="1"/>
  <c r="U57" i="25"/>
  <c r="AD56" i="25"/>
  <c r="AE56" i="25" s="1"/>
  <c r="U328" i="25"/>
  <c r="AD327" i="25"/>
  <c r="AE327" i="25" s="1"/>
  <c r="AD115" i="25"/>
  <c r="AE115" i="25" s="1"/>
  <c r="U116" i="25"/>
  <c r="U29" i="25"/>
  <c r="AD28" i="25"/>
  <c r="AE28" i="25" s="1"/>
  <c r="U201" i="25"/>
  <c r="AD200" i="25"/>
  <c r="AE200" i="25" s="1"/>
  <c r="U31" i="25"/>
  <c r="AD30" i="25"/>
  <c r="AE30" i="25" s="1"/>
  <c r="U22" i="25"/>
  <c r="AD21" i="25"/>
  <c r="AE21" i="25" s="1"/>
  <c r="U70" i="25"/>
  <c r="AD69" i="25"/>
  <c r="AE69" i="25" s="1"/>
  <c r="U18" i="25"/>
  <c r="AD17" i="25"/>
  <c r="AE17" i="25" s="1"/>
  <c r="U385" i="25"/>
  <c r="AD384" i="25"/>
  <c r="AE384" i="25" s="1"/>
  <c r="U379" i="25"/>
  <c r="AD378" i="25"/>
  <c r="AE378" i="25" s="1"/>
  <c r="AD237" i="25"/>
  <c r="AE237" i="25" s="1"/>
  <c r="U238" i="25"/>
  <c r="U182" i="25"/>
  <c r="AD181" i="25"/>
  <c r="AE181" i="25" s="1"/>
  <c r="U126" i="25"/>
  <c r="AD125" i="25"/>
  <c r="AE125" i="25" s="1"/>
  <c r="U53" i="25"/>
  <c r="AD52" i="25"/>
  <c r="AE52" i="25" s="1"/>
  <c r="U110" i="25"/>
  <c r="AD109" i="25"/>
  <c r="AE109" i="25" s="1"/>
  <c r="U583" i="25"/>
  <c r="AD582" i="25"/>
  <c r="AE582" i="25" s="1"/>
  <c r="AD577" i="25"/>
  <c r="AE577" i="25" s="1"/>
  <c r="U578" i="25"/>
  <c r="U521" i="25"/>
  <c r="AD520" i="25"/>
  <c r="AE520" i="25" s="1"/>
  <c r="U504" i="25"/>
  <c r="AD503" i="25"/>
  <c r="AE503" i="25" s="1"/>
  <c r="U459" i="25"/>
  <c r="AD458" i="25"/>
  <c r="AE458" i="25" s="1"/>
  <c r="U443" i="25"/>
  <c r="AD442" i="25"/>
  <c r="AE442" i="25" s="1"/>
  <c r="U471" i="25"/>
  <c r="AD470" i="25"/>
  <c r="AE470" i="25" s="1"/>
  <c r="U452" i="25"/>
  <c r="AD451" i="25"/>
  <c r="AE451" i="25" s="1"/>
  <c r="U436" i="25"/>
  <c r="AD435" i="25"/>
  <c r="AE435" i="25" s="1"/>
  <c r="U402" i="25"/>
  <c r="AD401" i="25"/>
  <c r="AE401" i="25" s="1"/>
  <c r="U465" i="25"/>
  <c r="AD464" i="25"/>
  <c r="AE464" i="25" s="1"/>
  <c r="U481" i="25"/>
  <c r="AD480" i="25"/>
  <c r="AE480" i="25" s="1"/>
  <c r="U400" i="25"/>
  <c r="AD399" i="25"/>
  <c r="AE399" i="25" s="1"/>
  <c r="U382" i="25"/>
  <c r="AD381" i="25"/>
  <c r="AE381" i="25" s="1"/>
  <c r="AD373" i="25"/>
  <c r="AE373" i="25" s="1"/>
  <c r="U374" i="25"/>
  <c r="U349" i="25"/>
  <c r="AD348" i="25"/>
  <c r="AE348" i="25" s="1"/>
  <c r="U317" i="25"/>
  <c r="AD316" i="25"/>
  <c r="AE316" i="25" s="1"/>
  <c r="U352" i="25"/>
  <c r="AD351" i="25"/>
  <c r="AE351" i="25" s="1"/>
  <c r="U242" i="25"/>
  <c r="AD241" i="25"/>
  <c r="AE241" i="25" s="1"/>
  <c r="U226" i="25"/>
  <c r="AD225" i="25"/>
  <c r="AE225" i="25" s="1"/>
  <c r="U227" i="25"/>
  <c r="AD226" i="25"/>
  <c r="AE226" i="25" s="1"/>
  <c r="U257" i="25"/>
  <c r="AD256" i="25"/>
  <c r="AE256" i="25" s="1"/>
  <c r="U219" i="25"/>
  <c r="AD218" i="25"/>
  <c r="AE218" i="25" s="1"/>
  <c r="U187" i="25"/>
  <c r="AD186" i="25"/>
  <c r="AE186" i="25" s="1"/>
  <c r="U50" i="25"/>
  <c r="AD49" i="25"/>
  <c r="AE49" i="25" s="1"/>
  <c r="AD27" i="25"/>
  <c r="AE27" i="25" s="1"/>
  <c r="U28" i="25"/>
  <c r="U145" i="25"/>
  <c r="AD144" i="25"/>
  <c r="AE144" i="25" s="1"/>
  <c r="U54" i="25"/>
  <c r="AD53" i="25"/>
  <c r="AE53" i="25" s="1"/>
  <c r="U47" i="25"/>
  <c r="AD46" i="25"/>
  <c r="AE46" i="25" s="1"/>
  <c r="U598" i="25"/>
  <c r="AD597" i="25"/>
  <c r="AE597" i="25" s="1"/>
  <c r="AD527" i="25"/>
  <c r="AE527" i="25" s="1"/>
  <c r="U528" i="25"/>
  <c r="U529" i="25"/>
  <c r="AD528" i="25"/>
  <c r="AE528" i="25" s="1"/>
  <c r="U398" i="25"/>
  <c r="AD397" i="25"/>
  <c r="AE397" i="25" s="1"/>
  <c r="AD375" i="25"/>
  <c r="AE375" i="25" s="1"/>
  <c r="U376" i="25"/>
  <c r="AD253" i="25"/>
  <c r="AE253" i="25" s="1"/>
  <c r="U254" i="25"/>
  <c r="U114" i="25"/>
  <c r="AD113" i="25"/>
  <c r="AE113" i="25" s="1"/>
  <c r="U85" i="25"/>
  <c r="AD84" i="25"/>
  <c r="AE84" i="25" s="1"/>
  <c r="U24" i="25"/>
  <c r="AD23" i="25"/>
  <c r="AE23" i="25" s="1"/>
  <c r="U225" i="25"/>
  <c r="AD224" i="25"/>
  <c r="AE224" i="25" s="1"/>
  <c r="U125" i="25"/>
  <c r="AD124" i="25"/>
  <c r="AE124" i="25" s="1"/>
  <c r="U605" i="25"/>
  <c r="AD604" i="25"/>
  <c r="AE604" i="25" s="1"/>
  <c r="U589" i="25"/>
  <c r="AD588" i="25"/>
  <c r="AE588" i="25" s="1"/>
  <c r="U592" i="25"/>
  <c r="AD591" i="25"/>
  <c r="AE591" i="25" s="1"/>
  <c r="U538" i="25"/>
  <c r="AD537" i="25"/>
  <c r="AE537" i="25" s="1"/>
  <c r="U558" i="25"/>
  <c r="AD557" i="25"/>
  <c r="AE557" i="25" s="1"/>
  <c r="U494" i="25"/>
  <c r="AD493" i="25"/>
  <c r="AE493" i="25" s="1"/>
  <c r="U478" i="25"/>
  <c r="AD477" i="25"/>
  <c r="AE477" i="25" s="1"/>
  <c r="AD432" i="25"/>
  <c r="AE432" i="25" s="1"/>
  <c r="U433" i="25"/>
  <c r="U458" i="25"/>
  <c r="AD457" i="25"/>
  <c r="AE457" i="25" s="1"/>
  <c r="U442" i="25"/>
  <c r="AD441" i="25"/>
  <c r="AE441" i="25" s="1"/>
  <c r="U407" i="25"/>
  <c r="AD406" i="25"/>
  <c r="AE406" i="25" s="1"/>
  <c r="U355" i="25"/>
  <c r="AD354" i="25"/>
  <c r="AE354" i="25" s="1"/>
  <c r="U325" i="25"/>
  <c r="AD324" i="25"/>
  <c r="AE324" i="25" s="1"/>
  <c r="U284" i="25"/>
  <c r="AD283" i="25"/>
  <c r="AE283" i="25" s="1"/>
  <c r="U339" i="25"/>
  <c r="AD338" i="25"/>
  <c r="AE338" i="25" s="1"/>
  <c r="AD301" i="25"/>
  <c r="AE301" i="25" s="1"/>
  <c r="U302" i="25"/>
  <c r="U264" i="25"/>
  <c r="AD263" i="25"/>
  <c r="AE263" i="25" s="1"/>
  <c r="AD231" i="25"/>
  <c r="AE231" i="25" s="1"/>
  <c r="U232" i="25"/>
  <c r="AD199" i="25"/>
  <c r="AE199" i="25" s="1"/>
  <c r="U200" i="25"/>
  <c r="AD167" i="25"/>
  <c r="AE167" i="25" s="1"/>
  <c r="U168" i="25"/>
  <c r="AD135" i="25"/>
  <c r="AE135" i="25" s="1"/>
  <c r="U136" i="25"/>
  <c r="U199" i="25"/>
  <c r="AD198" i="25"/>
  <c r="AE198" i="25" s="1"/>
  <c r="U167" i="25"/>
  <c r="AD166" i="25"/>
  <c r="AE166" i="25" s="1"/>
  <c r="U135" i="25"/>
  <c r="AD134" i="25"/>
  <c r="AE134" i="25" s="1"/>
  <c r="U105" i="25"/>
  <c r="AD104" i="25"/>
  <c r="AE104" i="25" s="1"/>
  <c r="U41" i="25"/>
  <c r="AD40" i="25"/>
  <c r="AE40" i="25" s="1"/>
  <c r="U193" i="25"/>
  <c r="AD192" i="25"/>
  <c r="AE192" i="25" s="1"/>
  <c r="U86" i="25"/>
  <c r="AD85" i="25"/>
  <c r="AE85" i="25" s="1"/>
  <c r="U205" i="25"/>
  <c r="AD204" i="25"/>
  <c r="AE204" i="25" s="1"/>
  <c r="U27" i="25"/>
  <c r="AD26" i="25"/>
  <c r="AE26" i="25" s="1"/>
  <c r="AD516" i="25"/>
  <c r="AE516" i="25" s="1"/>
  <c r="U517" i="25"/>
  <c r="U468" i="25"/>
  <c r="AD467" i="25"/>
  <c r="AE467" i="25" s="1"/>
  <c r="U487" i="25"/>
  <c r="AD486" i="25"/>
  <c r="AE486" i="25" s="1"/>
  <c r="U389" i="25"/>
  <c r="AD388" i="25"/>
  <c r="AE388" i="25" s="1"/>
  <c r="U315" i="25"/>
  <c r="AD314" i="25"/>
  <c r="AE314" i="25" s="1"/>
  <c r="U319" i="25"/>
  <c r="AD318" i="25"/>
  <c r="AE318" i="25" s="1"/>
  <c r="AD245" i="25"/>
  <c r="AE245" i="25" s="1"/>
  <c r="U246" i="25"/>
  <c r="U174" i="25"/>
  <c r="AD173" i="25"/>
  <c r="AE173" i="25" s="1"/>
  <c r="U337" i="25"/>
  <c r="AD336" i="25"/>
  <c r="AE336" i="25" s="1"/>
  <c r="U49" i="25"/>
  <c r="AD48" i="25"/>
  <c r="AE48" i="25" s="1"/>
  <c r="AD613" i="25"/>
  <c r="AE613" i="25" s="1"/>
  <c r="U613" i="25"/>
  <c r="AD612" i="25"/>
  <c r="AE612" i="25" s="1"/>
  <c r="U588" i="25"/>
  <c r="AD587" i="25"/>
  <c r="AE587" i="25" s="1"/>
  <c r="U576" i="25"/>
  <c r="AD575" i="25"/>
  <c r="AE575" i="25" s="1"/>
  <c r="U550" i="25"/>
  <c r="AD549" i="25"/>
  <c r="AE549" i="25" s="1"/>
  <c r="U547" i="25"/>
  <c r="AD546" i="25"/>
  <c r="AE546" i="25" s="1"/>
  <c r="U490" i="25"/>
  <c r="AD489" i="25"/>
  <c r="AE489" i="25" s="1"/>
  <c r="AD513" i="25"/>
  <c r="AE513" i="25" s="1"/>
  <c r="U514" i="25"/>
  <c r="U454" i="25"/>
  <c r="AD453" i="25"/>
  <c r="AE453" i="25" s="1"/>
  <c r="U397" i="25"/>
  <c r="AD396" i="25"/>
  <c r="AE396" i="25" s="1"/>
  <c r="U384" i="25"/>
  <c r="AD383" i="25"/>
  <c r="AE383" i="25" s="1"/>
  <c r="U367" i="25"/>
  <c r="AD366" i="25"/>
  <c r="AE366" i="25" s="1"/>
  <c r="U351" i="25"/>
  <c r="AD350" i="25"/>
  <c r="AE350" i="25" s="1"/>
  <c r="U341" i="25"/>
  <c r="AD340" i="25"/>
  <c r="AE340" i="25" s="1"/>
  <c r="AD353" i="25"/>
  <c r="AE353" i="25" s="1"/>
  <c r="U354" i="25"/>
  <c r="U314" i="25"/>
  <c r="AD313" i="25"/>
  <c r="AE313" i="25" s="1"/>
  <c r="U394" i="25"/>
  <c r="AD393" i="25"/>
  <c r="AE393" i="25" s="1"/>
  <c r="U295" i="25"/>
  <c r="AD294" i="25"/>
  <c r="AE294" i="25" s="1"/>
  <c r="U260" i="25"/>
  <c r="AD259" i="25"/>
  <c r="AE259" i="25" s="1"/>
  <c r="U244" i="25"/>
  <c r="AD243" i="25"/>
  <c r="AE243" i="25" s="1"/>
  <c r="U228" i="25"/>
  <c r="AD227" i="25"/>
  <c r="AE227" i="25" s="1"/>
  <c r="U280" i="25"/>
  <c r="AD279" i="25"/>
  <c r="AE279" i="25" s="1"/>
  <c r="AD211" i="25"/>
  <c r="AE211" i="25" s="1"/>
  <c r="U212" i="25"/>
  <c r="AD179" i="25"/>
  <c r="AE179" i="25" s="1"/>
  <c r="U180" i="25"/>
  <c r="AD147" i="25"/>
  <c r="AE147" i="25" s="1"/>
  <c r="U148" i="25"/>
  <c r="U336" i="25"/>
  <c r="AD335" i="25"/>
  <c r="AE335" i="25" s="1"/>
  <c r="U99" i="25"/>
  <c r="AD98" i="25"/>
  <c r="AE98" i="25" s="1"/>
  <c r="U93" i="25"/>
  <c r="AD92" i="25"/>
  <c r="AE92" i="25" s="1"/>
  <c r="AD51" i="25"/>
  <c r="AE51" i="25" s="1"/>
  <c r="U52" i="25"/>
  <c r="U161" i="25"/>
  <c r="AD160" i="25"/>
  <c r="AE160" i="25" s="1"/>
  <c r="U149" i="25"/>
  <c r="AD148" i="25"/>
  <c r="AE148" i="25" s="1"/>
  <c r="U55" i="25"/>
  <c r="AD54" i="25"/>
  <c r="AE54" i="25" s="1"/>
  <c r="U173" i="25"/>
  <c r="AD172" i="25"/>
  <c r="AE172" i="25" s="1"/>
  <c r="U545" i="25"/>
  <c r="AD544" i="25"/>
  <c r="AE544" i="25" s="1"/>
  <c r="U476" i="25"/>
  <c r="AD475" i="25"/>
  <c r="AE475" i="25" s="1"/>
  <c r="AD438" i="25"/>
  <c r="AE438" i="25" s="1"/>
  <c r="U439" i="25"/>
  <c r="U412" i="25"/>
  <c r="AD411" i="25"/>
  <c r="AE411" i="25" s="1"/>
  <c r="U333" i="25"/>
  <c r="AD332" i="25"/>
  <c r="AE332" i="25" s="1"/>
  <c r="U306" i="25"/>
  <c r="AD305" i="25"/>
  <c r="AE305" i="25" s="1"/>
  <c r="AD363" i="25"/>
  <c r="AE363" i="25" s="1"/>
  <c r="U364" i="25"/>
  <c r="U91" i="25"/>
  <c r="AD90" i="25"/>
  <c r="AE90" i="25" s="1"/>
  <c r="U113" i="25"/>
  <c r="AD112" i="25"/>
  <c r="AE112" i="25" s="1"/>
  <c r="U40" i="25"/>
  <c r="AD39" i="25"/>
  <c r="AE39" i="25" s="1"/>
  <c r="U329" i="25"/>
  <c r="AD328" i="25"/>
  <c r="AE328" i="25" s="1"/>
  <c r="U111" i="25"/>
  <c r="AD110" i="25"/>
  <c r="AE110" i="25" s="1"/>
  <c r="AE387" i="17"/>
  <c r="AE535" i="17"/>
  <c r="AE416" i="17"/>
  <c r="AE426" i="17"/>
  <c r="AD128" i="17"/>
  <c r="AE128" i="17" s="1"/>
  <c r="AD297" i="17"/>
  <c r="AE297" i="17" s="1"/>
  <c r="AD62" i="17"/>
  <c r="AE62" i="17" s="1"/>
  <c r="AD533" i="17"/>
  <c r="AE533" i="17" s="1"/>
  <c r="AD520" i="17"/>
  <c r="AE520" i="17" s="1"/>
  <c r="AD35" i="17"/>
  <c r="AE35" i="17" s="1"/>
  <c r="AD93" i="17"/>
  <c r="AE93" i="17" s="1"/>
  <c r="AD199" i="17"/>
  <c r="AE199" i="17" s="1"/>
  <c r="AD175" i="17"/>
  <c r="AE175" i="17" s="1"/>
  <c r="AD534" i="17"/>
  <c r="AE534" i="17" s="1"/>
  <c r="AD200" i="17"/>
  <c r="AE200" i="17" s="1"/>
  <c r="AD190" i="17"/>
  <c r="AE190" i="17" s="1"/>
  <c r="AD270" i="17"/>
  <c r="AE270" i="17" s="1"/>
  <c r="AD82" i="17"/>
  <c r="AE82" i="17" s="1"/>
  <c r="AD538" i="17"/>
  <c r="AE538" i="17" s="1"/>
  <c r="AD302" i="17"/>
  <c r="AE302" i="17" s="1"/>
  <c r="AD355" i="17"/>
  <c r="AE355" i="17" s="1"/>
  <c r="AD52" i="17"/>
  <c r="AE52" i="17" s="1"/>
  <c r="AD219" i="17"/>
  <c r="AE219" i="17" s="1"/>
  <c r="AD334" i="17"/>
  <c r="AE334" i="17" s="1"/>
  <c r="AD137" i="17"/>
  <c r="AE137" i="17" s="1"/>
  <c r="AD325" i="17"/>
  <c r="AE325" i="17" s="1"/>
  <c r="AD360" i="17"/>
  <c r="AE360" i="17" s="1"/>
  <c r="AD283" i="17"/>
  <c r="AE283" i="17" s="1"/>
  <c r="AD63" i="17"/>
  <c r="AE63" i="17" s="1"/>
  <c r="AD326" i="17"/>
  <c r="AE326" i="17" s="1"/>
  <c r="AD576" i="17"/>
  <c r="AE576" i="17" s="1"/>
  <c r="AD593" i="17"/>
  <c r="AE593" i="17" s="1"/>
  <c r="AD592" i="17"/>
  <c r="AE592" i="17" s="1"/>
  <c r="AD316" i="17"/>
  <c r="AE316" i="17" s="1"/>
  <c r="AD101" i="17"/>
  <c r="AE101" i="17" s="1"/>
  <c r="AD90" i="17"/>
  <c r="AE90" i="17" s="1"/>
  <c r="AD410" i="17"/>
  <c r="AE410" i="17" s="1"/>
  <c r="AD294" i="17"/>
  <c r="AE294" i="17" s="1"/>
  <c r="AD413" i="17"/>
  <c r="AE413" i="17" s="1"/>
  <c r="AD234" i="17"/>
  <c r="AE234" i="17" s="1"/>
  <c r="AD58" i="17"/>
  <c r="AE58" i="17" s="1"/>
  <c r="AD233" i="17"/>
  <c r="AE233" i="17" s="1"/>
  <c r="AD459" i="17"/>
  <c r="AE459" i="17" s="1"/>
  <c r="AD590" i="17"/>
  <c r="AE590" i="17" s="1"/>
  <c r="AD405" i="17"/>
  <c r="AE405" i="17" s="1"/>
  <c r="AD92" i="17"/>
  <c r="AE92" i="17" s="1"/>
  <c r="AD453" i="17"/>
  <c r="AE453" i="17" s="1"/>
  <c r="AD259" i="17"/>
  <c r="AE259" i="17" s="1"/>
  <c r="AD132" i="17"/>
  <c r="AE132" i="17" s="1"/>
  <c r="AD482" i="17"/>
  <c r="AE482" i="17" s="1"/>
  <c r="AD457" i="17"/>
  <c r="AE457" i="17" s="1"/>
  <c r="AD146" i="17"/>
  <c r="AE146" i="17" s="1"/>
  <c r="AD135" i="17"/>
  <c r="AE135" i="17" s="1"/>
  <c r="AD266" i="17"/>
  <c r="AE266" i="17" s="1"/>
  <c r="AD99" i="17"/>
  <c r="AE99" i="17" s="1"/>
  <c r="AD205" i="17"/>
  <c r="AE205" i="17" s="1"/>
  <c r="AD213" i="17"/>
  <c r="AE213" i="17" s="1"/>
  <c r="AD469" i="17"/>
  <c r="AE469" i="17" s="1"/>
  <c r="AD397" i="17"/>
  <c r="AE397" i="17" s="1"/>
  <c r="AD156" i="17"/>
  <c r="AE156" i="17" s="1"/>
  <c r="AD569" i="17"/>
  <c r="AE569" i="17" s="1"/>
  <c r="AD288" i="17"/>
  <c r="AE288" i="17" s="1"/>
  <c r="AD122" i="17"/>
  <c r="AE122" i="17" s="1"/>
  <c r="AD145" i="17"/>
  <c r="AE145" i="17" s="1"/>
  <c r="AD470" i="17"/>
  <c r="AE470" i="17" s="1"/>
  <c r="AD37" i="17"/>
  <c r="AE37" i="17" s="1"/>
  <c r="AD585" i="17"/>
  <c r="AE585" i="17" s="1"/>
  <c r="AD464" i="17"/>
  <c r="AE464" i="17" s="1"/>
  <c r="AD393" i="17"/>
  <c r="AE393" i="17" s="1"/>
  <c r="AD211" i="17"/>
  <c r="AE211" i="17" s="1"/>
  <c r="AD501" i="17"/>
  <c r="AE501" i="17" s="1"/>
  <c r="AD380" i="17"/>
  <c r="AE380" i="17" s="1"/>
  <c r="AD309" i="17"/>
  <c r="AE309" i="17" s="1"/>
  <c r="AD512" i="17"/>
  <c r="AE512" i="17" s="1"/>
  <c r="AD241" i="17"/>
  <c r="AE241" i="17" s="1"/>
  <c r="AD123" i="17"/>
  <c r="AE123" i="17" s="1"/>
  <c r="AD540" i="17"/>
  <c r="AE540" i="17" s="1"/>
  <c r="AD448" i="17"/>
  <c r="AE448" i="17" s="1"/>
  <c r="AD500" i="17"/>
  <c r="AE500" i="17" s="1"/>
  <c r="AD499" i="17"/>
  <c r="AE499" i="17" s="1"/>
  <c r="AD483" i="17"/>
  <c r="AE483" i="17" s="1"/>
  <c r="U130" i="17"/>
  <c r="AD597" i="17"/>
  <c r="AE597" i="17" s="1"/>
  <c r="AD166" i="17"/>
  <c r="AE166" i="17" s="1"/>
  <c r="AD442" i="17"/>
  <c r="AE442" i="17" s="1"/>
  <c r="AD67" i="17"/>
  <c r="AE67" i="17" s="1"/>
  <c r="AD411" i="17"/>
  <c r="AE411" i="17" s="1"/>
  <c r="AD329" i="17"/>
  <c r="AE329" i="17" s="1"/>
  <c r="AD255" i="17"/>
  <c r="AE255" i="17" s="1"/>
  <c r="AD289" i="17"/>
  <c r="AE289" i="17" s="1"/>
  <c r="AD484" i="17"/>
  <c r="AE484" i="17" s="1"/>
  <c r="AD607" i="17"/>
  <c r="AE607" i="17" s="1"/>
  <c r="AD26" i="17"/>
  <c r="AE26" i="17" s="1"/>
  <c r="AD203" i="17"/>
  <c r="AE203" i="17" s="1"/>
  <c r="AD348" i="17"/>
  <c r="AE348" i="17" s="1"/>
  <c r="AD253" i="17"/>
  <c r="AE253" i="17" s="1"/>
  <c r="AD97" i="17"/>
  <c r="AE97" i="17" s="1"/>
  <c r="AD55" i="17"/>
  <c r="AE55" i="17" s="1"/>
  <c r="AD515" i="17"/>
  <c r="AE515" i="17" s="1"/>
  <c r="AD265" i="17"/>
  <c r="AE265" i="17" s="1"/>
  <c r="AD278" i="17"/>
  <c r="AE278" i="17" s="1"/>
  <c r="AD277" i="17"/>
  <c r="AE277" i="17" s="1"/>
  <c r="AD354" i="17"/>
  <c r="AE354" i="17" s="1"/>
  <c r="AD15" i="17"/>
  <c r="AE15" i="17" s="1"/>
  <c r="AD158" i="17"/>
  <c r="AE158" i="17" s="1"/>
  <c r="AD290" i="17"/>
  <c r="AE290" i="17" s="1"/>
  <c r="AD319" i="17"/>
  <c r="AE319" i="17" s="1"/>
  <c r="AD109" i="17"/>
  <c r="AE109" i="17" s="1"/>
  <c r="AD193" i="17"/>
  <c r="AE193" i="17" s="1"/>
  <c r="AD235" i="17"/>
  <c r="AE235" i="17" s="1"/>
  <c r="AD115" i="17"/>
  <c r="AE115" i="17" s="1"/>
  <c r="AD120" i="17"/>
  <c r="AE120" i="17" s="1"/>
  <c r="AD528" i="17"/>
  <c r="AE528" i="17" s="1"/>
  <c r="AD61" i="17"/>
  <c r="AE61" i="17" s="1"/>
  <c r="AD460" i="17"/>
  <c r="AE460" i="17" s="1"/>
  <c r="AD548" i="17"/>
  <c r="AE548" i="17" s="1"/>
  <c r="AD121" i="17"/>
  <c r="AE121" i="17" s="1"/>
  <c r="AD286" i="17"/>
  <c r="AE286" i="17" s="1"/>
  <c r="AD566" i="17"/>
  <c r="AE566" i="17" s="1"/>
  <c r="AD439" i="17"/>
  <c r="AE439" i="17" s="1"/>
  <c r="AD71" i="17"/>
  <c r="AE71" i="17" s="1"/>
  <c r="AD307" i="17"/>
  <c r="AE307" i="17" s="1"/>
  <c r="AD299" i="17"/>
  <c r="AE299" i="17" s="1"/>
  <c r="AD609" i="17"/>
  <c r="AE609" i="17" s="1"/>
  <c r="AD162" i="17"/>
  <c r="AE162" i="17" s="1"/>
  <c r="AD320" i="17"/>
  <c r="AE320" i="17" s="1"/>
  <c r="AD487" i="17"/>
  <c r="AE487" i="17" s="1"/>
  <c r="AD516" i="17"/>
  <c r="AE516" i="17" s="1"/>
  <c r="AD359" i="17"/>
  <c r="AE359" i="17" s="1"/>
  <c r="AD20" i="17"/>
  <c r="AE20" i="17" s="1"/>
  <c r="AD186" i="17"/>
  <c r="AE186" i="17" s="1"/>
  <c r="AD59" i="17"/>
  <c r="AE59" i="17" s="1"/>
  <c r="AD357" i="17"/>
  <c r="AE357" i="17" s="1"/>
  <c r="AD107" i="17"/>
  <c r="AE107" i="17" s="1"/>
  <c r="AD184" i="17"/>
  <c r="AE184" i="17" s="1"/>
  <c r="AD66" i="17"/>
  <c r="AE66" i="17" s="1"/>
  <c r="AD300" i="17"/>
  <c r="AE300" i="17" s="1"/>
  <c r="AD284" i="17"/>
  <c r="AE284" i="17" s="1"/>
  <c r="AD508" i="17"/>
  <c r="AE508" i="17" s="1"/>
  <c r="AD554" i="17"/>
  <c r="AE554" i="17" s="1"/>
  <c r="AD412" i="17"/>
  <c r="AE412" i="17" s="1"/>
  <c r="AD375" i="17"/>
  <c r="AE375" i="17" s="1"/>
  <c r="AD293" i="17"/>
  <c r="AE293" i="17" s="1"/>
  <c r="AD441" i="17"/>
  <c r="AE441" i="17" s="1"/>
  <c r="AD440" i="17"/>
  <c r="AE440" i="17" s="1"/>
  <c r="AD494" i="17"/>
  <c r="AE494" i="17" s="1"/>
  <c r="AD49" i="17"/>
  <c r="AE49" i="17" s="1"/>
  <c r="AD308" i="17"/>
  <c r="AE308" i="17" s="1"/>
  <c r="AD225" i="17"/>
  <c r="AE225" i="17" s="1"/>
  <c r="AD436" i="17"/>
  <c r="AE436" i="17" s="1"/>
  <c r="AD351" i="17"/>
  <c r="AE351" i="17" s="1"/>
  <c r="AD224" i="17"/>
  <c r="AE224" i="17" s="1"/>
  <c r="AD418" i="17"/>
  <c r="AE418" i="17" s="1"/>
  <c r="AD415" i="17"/>
  <c r="AE415" i="17" s="1"/>
  <c r="AD565" i="17"/>
  <c r="AE565" i="17" s="1"/>
  <c r="AD574" i="17"/>
  <c r="AE574" i="17" s="1"/>
  <c r="AD496" i="17"/>
  <c r="AE496" i="17" s="1"/>
  <c r="AD563" i="17"/>
  <c r="AE563" i="17" s="1"/>
  <c r="AD251" i="17"/>
  <c r="AE251" i="17" s="1"/>
  <c r="AD57" i="17"/>
  <c r="AE57" i="17" s="1"/>
  <c r="AD139" i="17"/>
  <c r="AE139" i="17" s="1"/>
  <c r="AD349" i="17"/>
  <c r="AE349" i="17" s="1"/>
  <c r="AD72" i="17"/>
  <c r="AE72" i="17" s="1"/>
  <c r="AD539" i="17"/>
  <c r="AE539" i="17" s="1"/>
  <c r="AD567" i="17"/>
  <c r="AE567" i="17" s="1"/>
  <c r="AD419" i="17"/>
  <c r="AE419" i="17" s="1"/>
  <c r="AD555" i="17"/>
  <c r="AE555" i="17" s="1"/>
  <c r="AD147" i="17"/>
  <c r="AE147" i="17" s="1"/>
  <c r="U293" i="17"/>
  <c r="AD340" i="17"/>
  <c r="AE340" i="17" s="1"/>
  <c r="AD517" i="17"/>
  <c r="AE517" i="17" s="1"/>
  <c r="AD389" i="17"/>
  <c r="AE389" i="17" s="1"/>
  <c r="AD337" i="17"/>
  <c r="AE337" i="17" s="1"/>
  <c r="AD148" i="17"/>
  <c r="AE148" i="17" s="1"/>
  <c r="AD94" i="17"/>
  <c r="AE94" i="17" s="1"/>
  <c r="AD323" i="17"/>
  <c r="AE323" i="17" s="1"/>
  <c r="AD287" i="17"/>
  <c r="AE287" i="17" s="1"/>
  <c r="AD23" i="17"/>
  <c r="AE23" i="17" s="1"/>
  <c r="AD130" i="17"/>
  <c r="AE130" i="17" s="1"/>
  <c r="AD185" i="17"/>
  <c r="AE185" i="17" s="1"/>
  <c r="AD174" i="17"/>
  <c r="AE174" i="17" s="1"/>
  <c r="AD187" i="17"/>
  <c r="AE187" i="17" s="1"/>
  <c r="AD196" i="17"/>
  <c r="AE196" i="17" s="1"/>
  <c r="AD345" i="17"/>
  <c r="AE345" i="17" s="1"/>
  <c r="AD370" i="17"/>
  <c r="AE370" i="17" s="1"/>
  <c r="AD564" i="17"/>
  <c r="AE564" i="17" s="1"/>
  <c r="AD575" i="17"/>
  <c r="AE575" i="17" s="1"/>
  <c r="AD433" i="17"/>
  <c r="AE433" i="17" s="1"/>
  <c r="AD530" i="17"/>
  <c r="AE530" i="17" s="1"/>
  <c r="AD435" i="17"/>
  <c r="AE435" i="17" s="1"/>
  <c r="AD189" i="17"/>
  <c r="AE189" i="17" s="1"/>
  <c r="AD589" i="17"/>
  <c r="AE589" i="17" s="1"/>
  <c r="AD173" i="17"/>
  <c r="AE173" i="17" s="1"/>
  <c r="AD13" i="17"/>
  <c r="AE13" i="17" s="1"/>
  <c r="AD481" i="17"/>
  <c r="AE481" i="17" s="1"/>
  <c r="AD402" i="17"/>
  <c r="AE402" i="17" s="1"/>
  <c r="AD599" i="17"/>
  <c r="AE599" i="17" s="1"/>
  <c r="AD495" i="17"/>
  <c r="AE495" i="17" s="1"/>
  <c r="AD314" i="17"/>
  <c r="AE314" i="17" s="1"/>
  <c r="AD258" i="17"/>
  <c r="AE258" i="17" s="1"/>
  <c r="AD431" i="17"/>
  <c r="AE431" i="17" s="1"/>
  <c r="AD472" i="17"/>
  <c r="AE472" i="17" s="1"/>
  <c r="AD280" i="17"/>
  <c r="AE280" i="17" s="1"/>
  <c r="AD274" i="17"/>
  <c r="AE274" i="17" s="1"/>
  <c r="AD471" i="17"/>
  <c r="AE471" i="17" s="1"/>
  <c r="AD369" i="17"/>
  <c r="AE369" i="17" s="1"/>
  <c r="AD527" i="17"/>
  <c r="AE527" i="17" s="1"/>
  <c r="AD454" i="17"/>
  <c r="AE454" i="17" s="1"/>
  <c r="AD315" i="17"/>
  <c r="AE315" i="17" s="1"/>
  <c r="AD429" i="17"/>
  <c r="AE429" i="17" s="1"/>
  <c r="AD17" i="17"/>
  <c r="AE17" i="17" s="1"/>
  <c r="AD414" i="17"/>
  <c r="AE414" i="17" s="1"/>
  <c r="AD324" i="17"/>
  <c r="AE324" i="17" s="1"/>
  <c r="AD392" i="17"/>
  <c r="AE392" i="17" s="1"/>
  <c r="AD149" i="17"/>
  <c r="AE149" i="17" s="1"/>
  <c r="AD124" i="17"/>
  <c r="AE124" i="17" s="1"/>
  <c r="AD24" i="17"/>
  <c r="AE24" i="17" s="1"/>
  <c r="AD404" i="17"/>
  <c r="AE404" i="17" s="1"/>
  <c r="AD598" i="17"/>
  <c r="AE598" i="17" s="1"/>
  <c r="AD612" i="17"/>
  <c r="AE612" i="17" s="1"/>
  <c r="AD498" i="17"/>
  <c r="AE498" i="17" s="1"/>
  <c r="AD212" i="17"/>
  <c r="AE212" i="17" s="1"/>
  <c r="AD568" i="17"/>
  <c r="AE568" i="17" s="1"/>
  <c r="AD582" i="17"/>
  <c r="AE582" i="17" s="1"/>
  <c r="AD25" i="17"/>
  <c r="AE25" i="17" s="1"/>
  <c r="AD172" i="17"/>
  <c r="AE172" i="17" s="1"/>
  <c r="AD506" i="17"/>
  <c r="AE506" i="17" s="1"/>
  <c r="AD553" i="17"/>
  <c r="AE553" i="17" s="1"/>
  <c r="AD56" i="17"/>
  <c r="AE56" i="17" s="1"/>
  <c r="AD562" i="17"/>
  <c r="AE562" i="17" s="1"/>
  <c r="AD22" i="17"/>
  <c r="AE22" i="17" s="1"/>
  <c r="AD505" i="17"/>
  <c r="AE505" i="17" s="1"/>
  <c r="AD113" i="17"/>
  <c r="AE113" i="17" s="1"/>
  <c r="AD138" i="17"/>
  <c r="AE138" i="17" s="1"/>
  <c r="AD34" i="17"/>
  <c r="AE34" i="17" s="1"/>
  <c r="AD310" i="17"/>
  <c r="AE310" i="17" s="1"/>
  <c r="AD267" i="17"/>
  <c r="AE267" i="17" s="1"/>
  <c r="AD492" i="17"/>
  <c r="AE492" i="17" s="1"/>
  <c r="AD281" i="17"/>
  <c r="AE281" i="17" s="1"/>
  <c r="AD254" i="17"/>
  <c r="AE254" i="17" s="1"/>
  <c r="AD250" i="17"/>
  <c r="AE250" i="17" s="1"/>
  <c r="AD432" i="17"/>
  <c r="AE432" i="17" s="1"/>
  <c r="AD236" i="17"/>
  <c r="AE236" i="17" s="1"/>
  <c r="AD198" i="17"/>
  <c r="AE198" i="17" s="1"/>
  <c r="AD144" i="17"/>
  <c r="AE144" i="17" s="1"/>
  <c r="AD526" i="17"/>
  <c r="AE526" i="17" s="1"/>
  <c r="AD552" i="17"/>
  <c r="AE552" i="17" s="1"/>
  <c r="AD321" i="17"/>
  <c r="AE321" i="17" s="1"/>
  <c r="AD428" i="17"/>
  <c r="AE428" i="17" s="1"/>
  <c r="AD338" i="17"/>
  <c r="AE338" i="17" s="1"/>
  <c r="AD497" i="17"/>
  <c r="AE497" i="17" s="1"/>
  <c r="AD458" i="17"/>
  <c r="AE458" i="17" s="1"/>
  <c r="AD600" i="17"/>
  <c r="AE600" i="17" s="1"/>
  <c r="AD303" i="17"/>
  <c r="AE303" i="17" s="1"/>
  <c r="AD232" i="17"/>
  <c r="AE232" i="17" s="1"/>
  <c r="AD427" i="17"/>
  <c r="AE427" i="17" s="1"/>
  <c r="AD493" i="17"/>
  <c r="AE493" i="17" s="1"/>
  <c r="AD304" i="17"/>
  <c r="AE304" i="17" s="1"/>
  <c r="AD322" i="17"/>
  <c r="AE322" i="17" s="1"/>
  <c r="AD81" i="17"/>
  <c r="AE81" i="17" s="1"/>
  <c r="AD514" i="17"/>
  <c r="AE514" i="17" s="1"/>
  <c r="AD390" i="17"/>
  <c r="AE390" i="17" s="1"/>
  <c r="AD570" i="17"/>
  <c r="AE570" i="17" s="1"/>
  <c r="AD48" i="17"/>
  <c r="AE48" i="17" s="1"/>
  <c r="AD46" i="17"/>
  <c r="AE46" i="17" s="1"/>
  <c r="AD102" i="17"/>
  <c r="AE102" i="17" s="1"/>
  <c r="AD217" i="17"/>
  <c r="AE217" i="17" s="1"/>
  <c r="AD275" i="17"/>
  <c r="AE275" i="17" s="1"/>
  <c r="AD394" i="17"/>
  <c r="AE394" i="17" s="1"/>
  <c r="AD420" i="17"/>
  <c r="AE420" i="17" s="1"/>
  <c r="AD161" i="17"/>
  <c r="AE161" i="17" s="1"/>
  <c r="AD228" i="17"/>
  <c r="AE228" i="17" s="1"/>
  <c r="AD54" i="17"/>
  <c r="AE54" i="17" s="1"/>
  <c r="AD610" i="17"/>
  <c r="AE610" i="17" s="1"/>
  <c r="AD502" i="17"/>
  <c r="AE502" i="17" s="1"/>
  <c r="AD50" i="17"/>
  <c r="AE50" i="17" s="1"/>
  <c r="AD529" i="17"/>
  <c r="AE529" i="17" s="1"/>
  <c r="AD381" i="17"/>
  <c r="AE381" i="17" s="1"/>
  <c r="AD19" i="17"/>
  <c r="AE19" i="17" s="1"/>
  <c r="AD545" i="17"/>
  <c r="AE545" i="17" s="1"/>
  <c r="AD136" i="17"/>
  <c r="AE136" i="17" s="1"/>
  <c r="AD204" i="17"/>
  <c r="AE204" i="17" s="1"/>
  <c r="AD358" i="17"/>
  <c r="AE358" i="17" s="1"/>
  <c r="AD446" i="17"/>
  <c r="AE446" i="17" s="1"/>
  <c r="AD489" i="17"/>
  <c r="AE489" i="17" s="1"/>
  <c r="AD572" i="17"/>
  <c r="AE572" i="17" s="1"/>
  <c r="AD14" i="17"/>
  <c r="AE14" i="17" s="1"/>
  <c r="AD100" i="17"/>
  <c r="AE100" i="17" s="1"/>
  <c r="AD245" i="17"/>
  <c r="AE245" i="17" s="1"/>
  <c r="AD76" i="17"/>
  <c r="AE76" i="17" s="1"/>
  <c r="AD463" i="17"/>
  <c r="AE463" i="17" s="1"/>
  <c r="AD531" i="17"/>
  <c r="AE531" i="17" s="1"/>
  <c r="AD194" i="17"/>
  <c r="AE194" i="17" s="1"/>
  <c r="AD79" i="17"/>
  <c r="AE79" i="17" s="1"/>
  <c r="AD242" i="17"/>
  <c r="AE242" i="17" s="1"/>
  <c r="AD332" i="17"/>
  <c r="AE332" i="17" s="1"/>
  <c r="AD550" i="17"/>
  <c r="AE550" i="17" s="1"/>
  <c r="AD89" i="17"/>
  <c r="AE89" i="17" s="1"/>
  <c r="AD330" i="17"/>
  <c r="AE330" i="17" s="1"/>
  <c r="AD36" i="17"/>
  <c r="AE36" i="17" s="1"/>
  <c r="AD571" i="17"/>
  <c r="AE571" i="17" s="1"/>
  <c r="AD587" i="17"/>
  <c r="AE587" i="17" s="1"/>
  <c r="AD301" i="17"/>
  <c r="AE301" i="17" s="1"/>
  <c r="AD305" i="17"/>
  <c r="AE305" i="17" s="1"/>
  <c r="AD231" i="17"/>
  <c r="AE231" i="17" s="1"/>
  <c r="AD525" i="17"/>
  <c r="AE525" i="17" s="1"/>
  <c r="AD32" i="17"/>
  <c r="AE32" i="17" s="1"/>
  <c r="AD544" i="17"/>
  <c r="AE544" i="17" s="1"/>
  <c r="AD218" i="17"/>
  <c r="AE218" i="17" s="1"/>
  <c r="AD462" i="17"/>
  <c r="AE462" i="17" s="1"/>
  <c r="AD33" i="17"/>
  <c r="AE33" i="17" s="1"/>
  <c r="AD75" i="17"/>
  <c r="AE75" i="17" s="1"/>
  <c r="AD84" i="17"/>
  <c r="AE84" i="17" s="1"/>
  <c r="AD461" i="17"/>
  <c r="AE461" i="17" s="1"/>
  <c r="AD169" i="17"/>
  <c r="AE169" i="17" s="1"/>
  <c r="AD366" i="17"/>
  <c r="AE366" i="17" s="1"/>
  <c r="AD31" i="17"/>
  <c r="AE31" i="17" s="1"/>
  <c r="AD573" i="17"/>
  <c r="AE573" i="17" s="1"/>
  <c r="AD154" i="17"/>
  <c r="AE154" i="17" s="1"/>
  <c r="AD346" i="17"/>
  <c r="AE346" i="17" s="1"/>
  <c r="AD507" i="17"/>
  <c r="AE507" i="17" s="1"/>
  <c r="AD382" i="17"/>
  <c r="AE382" i="17" s="1"/>
  <c r="AD596" i="17"/>
  <c r="AE596" i="17" s="1"/>
  <c r="AD18" i="17"/>
  <c r="AE18" i="17" s="1"/>
  <c r="AD155" i="17"/>
  <c r="AE155" i="17" s="1"/>
  <c r="AD95" i="17"/>
  <c r="AE95" i="17" s="1"/>
  <c r="AD125" i="17"/>
  <c r="AE125" i="17" s="1"/>
  <c r="AD549" i="17"/>
  <c r="AE549" i="17" s="1"/>
  <c r="AD541" i="17"/>
  <c r="AE541" i="17" s="1"/>
  <c r="AD179" i="17"/>
  <c r="AE179" i="17" s="1"/>
  <c r="AD197" i="17"/>
  <c r="AE197" i="17" s="1"/>
  <c r="AD606" i="17"/>
  <c r="AE606" i="17" s="1"/>
  <c r="AD108" i="17"/>
  <c r="AE108" i="17" s="1"/>
  <c r="AD395" i="17"/>
  <c r="AE395" i="17" s="1"/>
  <c r="AD444" i="17"/>
  <c r="AE444" i="17" s="1"/>
  <c r="AD588" i="17"/>
  <c r="AE588" i="17" s="1"/>
  <c r="AD51" i="17"/>
  <c r="AE51" i="17" s="1"/>
  <c r="AD532" i="17"/>
  <c r="AE532" i="17" s="1"/>
  <c r="AD167" i="17"/>
  <c r="AE167" i="17" s="1"/>
  <c r="AD240" i="17"/>
  <c r="AE240" i="17" s="1"/>
  <c r="AD168" i="17"/>
  <c r="AE168" i="17" s="1"/>
  <c r="AD246" i="17"/>
  <c r="AE246" i="17" s="1"/>
  <c r="AD195" i="17"/>
  <c r="AE195" i="17" s="1"/>
  <c r="AD170" i="17"/>
  <c r="AE170" i="17" s="1"/>
  <c r="AD551" i="17"/>
  <c r="AE551" i="17" s="1"/>
  <c r="AD488" i="17"/>
  <c r="AE488" i="17" s="1"/>
  <c r="AD114" i="17"/>
  <c r="AE114" i="17" s="1"/>
  <c r="AD85" i="17"/>
  <c r="AE85" i="17" s="1"/>
  <c r="AD374" i="17"/>
  <c r="AE374" i="17" s="1"/>
  <c r="AD409" i="17"/>
  <c r="AE409" i="17" s="1"/>
  <c r="AD601" i="17"/>
  <c r="AE601" i="17" s="1"/>
  <c r="AD262" i="17"/>
  <c r="AE262" i="17" s="1"/>
  <c r="AD222" i="17"/>
  <c r="AE222" i="17" s="1"/>
  <c r="AD248" i="17"/>
  <c r="AE248" i="17" s="1"/>
  <c r="AD157" i="17"/>
  <c r="AE157" i="17" s="1"/>
  <c r="AD273" i="17"/>
  <c r="AE273" i="17" s="1"/>
  <c r="AD408" i="17"/>
  <c r="AE408" i="17" s="1"/>
  <c r="AD559" i="17"/>
  <c r="AE559" i="17" s="1"/>
  <c r="AD105" i="17"/>
  <c r="AE105" i="17" s="1"/>
  <c r="AD511" i="17"/>
  <c r="AE511" i="17" s="1"/>
  <c r="AD223" i="17"/>
  <c r="AE223" i="17" s="1"/>
  <c r="AD181" i="17"/>
  <c r="AE181" i="17" s="1"/>
  <c r="AD455" i="17"/>
  <c r="AE455" i="17" s="1"/>
  <c r="AD29" i="17"/>
  <c r="AE29" i="17" s="1"/>
  <c r="AD244" i="17"/>
  <c r="AE244" i="17" s="1"/>
  <c r="AD611" i="17"/>
  <c r="AE611" i="17" s="1"/>
  <c r="AD473" i="17"/>
  <c r="AE473" i="17" s="1"/>
  <c r="AD83" i="17"/>
  <c r="AE83" i="17" s="1"/>
  <c r="AD227" i="17"/>
  <c r="AE227" i="17" s="1"/>
  <c r="AD510" i="17"/>
  <c r="AE510" i="17" s="1"/>
  <c r="AD272" i="17"/>
  <c r="AE272" i="17" s="1"/>
  <c r="AD479" i="17"/>
  <c r="AE479" i="17" s="1"/>
  <c r="AD353" i="17"/>
  <c r="AE353" i="17" s="1"/>
  <c r="AD226" i="17"/>
  <c r="AE226" i="17" s="1"/>
  <c r="AD474" i="17"/>
  <c r="AE474" i="17" s="1"/>
  <c r="AD243" i="17"/>
  <c r="AE243" i="17" s="1"/>
  <c r="AD456" i="17"/>
  <c r="AE456" i="17" s="1"/>
  <c r="AD180" i="17"/>
  <c r="AE180" i="17" s="1"/>
  <c r="AD352" i="17"/>
  <c r="AE352" i="17" s="1"/>
  <c r="AD261" i="17"/>
  <c r="AE261" i="17" s="1"/>
  <c r="AD542" i="17"/>
  <c r="AE542" i="17" s="1"/>
  <c r="AD478" i="17"/>
  <c r="AE478" i="17" s="1"/>
  <c r="AD543" i="17"/>
  <c r="AE543" i="17" s="1"/>
  <c r="AD285" i="17"/>
  <c r="AE285" i="17" s="1"/>
  <c r="AD249" i="17"/>
  <c r="AE249" i="17" s="1"/>
  <c r="AD605" i="17"/>
  <c r="AE605" i="17" s="1"/>
  <c r="AD247" i="17"/>
  <c r="AE247" i="17" s="1"/>
  <c r="AD221" i="17"/>
  <c r="AE221" i="17" s="1"/>
  <c r="AD602" i="17"/>
  <c r="AE602" i="17" s="1"/>
  <c r="AD80" i="17"/>
  <c r="AE80" i="17" s="1"/>
  <c r="AD331" i="17"/>
  <c r="AE331" i="17" s="1"/>
  <c r="AD201" i="17"/>
  <c r="AE201" i="17" s="1"/>
  <c r="AD268" i="17"/>
  <c r="AE268" i="17" s="1"/>
  <c r="AD521" i="17"/>
  <c r="AE521" i="17" s="1"/>
  <c r="AD87" i="17"/>
  <c r="AE87" i="17" s="1"/>
  <c r="AD522" i="17"/>
  <c r="AE522" i="17" s="1"/>
  <c r="AD480" i="17"/>
  <c r="AE480" i="17" s="1"/>
  <c r="AD557" i="17"/>
  <c r="AE557" i="17" s="1"/>
  <c r="AD447" i="17"/>
  <c r="AE447" i="17" s="1"/>
  <c r="AD141" i="17"/>
  <c r="AE141" i="17" s="1"/>
  <c r="AD425" i="17"/>
  <c r="AE425" i="17" s="1"/>
  <c r="AD30" i="17"/>
  <c r="AE30" i="17" s="1"/>
  <c r="AD430" i="17"/>
  <c r="AE430" i="17" s="1"/>
  <c r="AD142" i="17"/>
  <c r="AE142" i="17" s="1"/>
  <c r="AD103" i="17"/>
  <c r="AE103" i="17" s="1"/>
  <c r="AD177" i="17"/>
  <c r="AE177" i="17" s="1"/>
  <c r="AD608" i="17"/>
  <c r="AE608" i="17" s="1"/>
  <c r="AD518" i="17"/>
  <c r="AE518" i="17" s="1"/>
  <c r="AD524" i="17"/>
  <c r="AE524" i="17" s="1"/>
  <c r="AD96" i="17"/>
  <c r="AE96" i="17" s="1"/>
  <c r="AD264" i="17"/>
  <c r="AE264" i="17" s="1"/>
  <c r="AD191" i="17"/>
  <c r="AE191" i="17" s="1"/>
  <c r="AD581" i="17"/>
  <c r="AE581" i="17" s="1"/>
  <c r="AD339" i="17"/>
  <c r="AE339" i="17" s="1"/>
  <c r="AD547" i="17"/>
  <c r="AE547" i="17" s="1"/>
  <c r="AD371" i="17"/>
  <c r="AE371" i="17" s="1"/>
  <c r="AD347" i="17"/>
  <c r="AE347" i="17" s="1"/>
  <c r="AD372" i="17"/>
  <c r="AE372" i="17" s="1"/>
  <c r="AD16" i="17"/>
  <c r="AE16" i="17" s="1"/>
  <c r="AD47" i="17"/>
  <c r="AE47" i="17" s="1"/>
  <c r="AD445" i="17"/>
  <c r="AE445" i="17" s="1"/>
  <c r="U117" i="17"/>
  <c r="AD580" i="17"/>
  <c r="AE580" i="17" s="1"/>
  <c r="AD202" i="17"/>
  <c r="AE202" i="17" s="1"/>
  <c r="AD558" i="17"/>
  <c r="AE558" i="17" s="1"/>
  <c r="AD210" i="17"/>
  <c r="AE210" i="17" s="1"/>
  <c r="AD523" i="17"/>
  <c r="AE523" i="17" s="1"/>
  <c r="AD504" i="17"/>
  <c r="AE504" i="17" s="1"/>
  <c r="AD452" i="17"/>
  <c r="AE452" i="17" s="1"/>
  <c r="AD160" i="17"/>
  <c r="AE160" i="17" s="1"/>
  <c r="AD398" i="17"/>
  <c r="AE398" i="17" s="1"/>
  <c r="AD88" i="17"/>
  <c r="AE88" i="17" s="1"/>
  <c r="AD164" i="17"/>
  <c r="AE164" i="17" s="1"/>
  <c r="AD159" i="17"/>
  <c r="AE159" i="17" s="1"/>
  <c r="AD165" i="17"/>
  <c r="AE165" i="17" s="1"/>
  <c r="AD486" i="17"/>
  <c r="AE486" i="17" s="1"/>
  <c r="AD467" i="17"/>
  <c r="AE467" i="17" s="1"/>
  <c r="AD546" i="17"/>
  <c r="AE546" i="17" s="1"/>
  <c r="AD335" i="17"/>
  <c r="AE335" i="17" s="1"/>
  <c r="AD192" i="17"/>
  <c r="AE192" i="17" s="1"/>
  <c r="AD118" i="17"/>
  <c r="AE118" i="17" s="1"/>
  <c r="AD178" i="17"/>
  <c r="AE178" i="17" s="1"/>
  <c r="AD45" i="17"/>
  <c r="AE45" i="17" s="1"/>
  <c r="AD595" i="17"/>
  <c r="AE595" i="17" s="1"/>
  <c r="AD443" i="17"/>
  <c r="AE443" i="17" s="1"/>
  <c r="AD399" i="17"/>
  <c r="AE399" i="17" s="1"/>
  <c r="AD586" i="17"/>
  <c r="AE586" i="17" s="1"/>
  <c r="AD143" i="17"/>
  <c r="AE143" i="17" s="1"/>
  <c r="AD263" i="17"/>
  <c r="AE263" i="17" s="1"/>
  <c r="AD327" i="17"/>
  <c r="AE327" i="17" s="1"/>
  <c r="AD403" i="17"/>
  <c r="AE403" i="17" s="1"/>
  <c r="AD176" i="17"/>
  <c r="AE176" i="17" s="1"/>
  <c r="AD44" i="17"/>
  <c r="AE44" i="17" s="1"/>
  <c r="AD378" i="17"/>
  <c r="AE378" i="17" s="1"/>
  <c r="AD28" i="17"/>
  <c r="AE28" i="17" s="1"/>
  <c r="AD256" i="17"/>
  <c r="AE256" i="17" s="1"/>
  <c r="AD257" i="17"/>
  <c r="AE257" i="17" s="1"/>
  <c r="AD485" i="17"/>
  <c r="AE485" i="17" s="1"/>
  <c r="AD328" i="17"/>
  <c r="AE328" i="17" s="1"/>
  <c r="AD451" i="17"/>
  <c r="AE451" i="17" s="1"/>
  <c r="AD556" i="17"/>
  <c r="AE556" i="17" s="1"/>
  <c r="AD295" i="17"/>
  <c r="AE295" i="17" s="1"/>
  <c r="AD450" i="17"/>
  <c r="AE450" i="17" s="1"/>
  <c r="AD313" i="17"/>
  <c r="AE313" i="17" s="1"/>
  <c r="AD43" i="17"/>
  <c r="AE43" i="17" s="1"/>
  <c r="AD209" i="17"/>
  <c r="AE209" i="17" s="1"/>
  <c r="AD377" i="17"/>
  <c r="AE377" i="17" s="1"/>
  <c r="AD476" i="17"/>
  <c r="AE476" i="17" s="1"/>
  <c r="AD131" i="17"/>
  <c r="AE131" i="17" s="1"/>
  <c r="AD60" i="17"/>
  <c r="AE60" i="17" s="1"/>
  <c r="AD64" i="17"/>
  <c r="AE64" i="17" s="1"/>
  <c r="AD216" i="17"/>
  <c r="AE216" i="17" s="1"/>
  <c r="AD119" i="17"/>
  <c r="AE119" i="17" s="1"/>
  <c r="AD424" i="17"/>
  <c r="AE424" i="17" s="1"/>
  <c r="AD215" i="17"/>
  <c r="AE215" i="17" s="1"/>
  <c r="AD117" i="17"/>
  <c r="AE117" i="17" s="1"/>
  <c r="AD65" i="17"/>
  <c r="AE65" i="17" s="1"/>
  <c r="AD509" i="17"/>
  <c r="AE509" i="17" s="1"/>
  <c r="AD53" i="17"/>
  <c r="AE53" i="17" s="1"/>
  <c r="AD519" i="17"/>
  <c r="AE519" i="17" s="1"/>
  <c r="AD365" i="17"/>
  <c r="AE365" i="17" s="1"/>
  <c r="AD336" i="17"/>
  <c r="AE336" i="17" s="1"/>
  <c r="AD364" i="17"/>
  <c r="AE364" i="17" s="1"/>
  <c r="AD126" i="17"/>
  <c r="AE126" i="17" s="1"/>
  <c r="AD312" i="17"/>
  <c r="AE312" i="17" s="1"/>
  <c r="AD104" i="17"/>
  <c r="AE104" i="17" s="1"/>
  <c r="AD106" i="17"/>
  <c r="AE106" i="17" s="1"/>
  <c r="AD127" i="17"/>
  <c r="AE127" i="17" s="1"/>
  <c r="AD376" i="17"/>
  <c r="AE376" i="17" s="1"/>
  <c r="AD503" i="17"/>
  <c r="AE503" i="17" s="1"/>
  <c r="AD296" i="17"/>
  <c r="AE296" i="17" s="1"/>
  <c r="AD140" i="17"/>
  <c r="AE140" i="17" s="1"/>
  <c r="AD475" i="17"/>
  <c r="AE475" i="17" s="1"/>
  <c r="AD276" i="17"/>
  <c r="AE276" i="17" s="1"/>
  <c r="AD466" i="17"/>
  <c r="AE466" i="17" s="1"/>
  <c r="AD27" i="17"/>
  <c r="AE27" i="17" s="1"/>
  <c r="AD342" i="17"/>
  <c r="AE342" i="17" s="1"/>
  <c r="AD341" i="17"/>
  <c r="AE341" i="17" s="1"/>
  <c r="AD449" i="17"/>
  <c r="AE449" i="17" s="1"/>
  <c r="AD269" i="17"/>
  <c r="AE269" i="17" s="1"/>
  <c r="AB625" i="17"/>
  <c r="AE7" i="25" l="1"/>
  <c r="Q4" i="25" s="1"/>
  <c r="AE13" i="25"/>
  <c r="AE9" i="25" s="1"/>
  <c r="Q5" i="25" s="1"/>
  <c r="AE9" i="17"/>
  <c r="Q5" i="17" s="1"/>
  <c r="AE7" i="17"/>
  <c r="Q4" i="17" s="1"/>
  <c r="B365" i="2" l="1"/>
  <c r="A365" i="2"/>
  <c r="B366" i="2"/>
  <c r="A366" i="2"/>
  <c r="A640" i="25"/>
  <c r="A617" i="25"/>
  <c r="A639" i="25"/>
  <c r="A639" i="17"/>
  <c r="A640" i="17"/>
  <c r="A617" i="17"/>
  <c r="F617" i="17" s="1"/>
  <c r="D365" i="2"/>
  <c r="H617" i="25" l="1"/>
  <c r="G617" i="25"/>
  <c r="G617" i="17"/>
  <c r="H617" i="17"/>
  <c r="O617" i="25"/>
  <c r="P617" i="25"/>
  <c r="A618" i="25"/>
  <c r="A619" i="25" s="1"/>
  <c r="L617" i="25"/>
  <c r="D617" i="25"/>
  <c r="K617" i="25"/>
  <c r="C617" i="25"/>
  <c r="M617" i="25"/>
  <c r="I617" i="25"/>
  <c r="E617" i="25"/>
  <c r="J617" i="25"/>
  <c r="N617" i="25"/>
  <c r="F617" i="25"/>
  <c r="K617" i="17"/>
  <c r="N617" i="17"/>
  <c r="P617" i="17"/>
  <c r="L617" i="17"/>
  <c r="M617" i="17"/>
  <c r="J617" i="17"/>
  <c r="E617" i="17"/>
  <c r="O617" i="17"/>
  <c r="D617" i="17"/>
  <c r="A618" i="17"/>
  <c r="A619" i="17" s="1"/>
  <c r="C617" i="17"/>
  <c r="I617" i="17"/>
  <c r="X617" i="25" l="1"/>
  <c r="Q617" i="25"/>
  <c r="AA617" i="25"/>
  <c r="Y617" i="25"/>
  <c r="AB617" i="25"/>
  <c r="R617" i="25"/>
  <c r="X617" i="17"/>
  <c r="AB617" i="17"/>
  <c r="R617" i="17"/>
  <c r="R620" i="17" s="1"/>
  <c r="Y617" i="17"/>
  <c r="AA617" i="17"/>
  <c r="Q617" i="17"/>
  <c r="S617" i="25" l="1"/>
  <c r="R620" i="25"/>
  <c r="S61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LM(2)5143/-Q1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LM(2)5143/-Q1 dual-channel / multi-phase synchronous buck controller</t>
        </r>
        <r>
          <rPr>
            <sz val="9"/>
            <color indexed="81"/>
            <rFont val="Tahoma"/>
            <family val="2"/>
          </rPr>
          <t xml:space="preserve">. As such, the user can expeditiously arrive at an optimized design by virtue of the following:
- Determine curretn sense resistances, buck inductances and input and output capacitances
- Select components to set switching frequency, soft-start, hiccup time and dither
- Optimize compensation values and pole/zero placement in terms of control loop stability using crossover frequency as a performance metric (for both dual-channel and two-phase interleaved)
- Inspect regulator efficiency and component power dissipations vs. line and load
- Analyze efficiency based on selected MOSFET parameters
- Configure the controller for dual-output or single-output (2/3/4-phase) configurations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B,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LM(2)5143/-Q1 product datasheet and EVM user's guide for more details.
</t>
        </r>
        <r>
          <rPr>
            <b/>
            <sz val="9"/>
            <color indexed="81"/>
            <rFont val="Tahoma"/>
            <family val="2"/>
          </rPr>
          <t>Rev B, Timothy Hegarty, Texas Instruments, Inc.</t>
        </r>
      </text>
    </comment>
    <comment ref="F7"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9"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(LM5143) or 36V (LM25143) 
-The output voltage is below 0.6V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SYNCIN. The max frequency set by RT is 2.2MHz, but SYNCIN can be as high as 2.5MHz.
</t>
        </r>
        <r>
          <rPr>
            <b/>
            <sz val="9"/>
            <color indexed="81"/>
            <rFont val="Tahoma"/>
            <family val="2"/>
          </rPr>
          <t xml:space="preserve">The text in the cell is flagged red if:
</t>
        </r>
        <r>
          <rPr>
            <b/>
            <sz val="9"/>
            <color indexed="10"/>
            <rFont val="Tahoma"/>
            <family val="2"/>
          </rPr>
          <t>-The frequency is below 100 kHz
-The frequency is above 2.5 MHz</t>
        </r>
        <r>
          <rPr>
            <sz val="11"/>
            <color indexed="81"/>
            <rFont val="Tahoma"/>
            <family val="2"/>
          </rPr>
          <t xml:space="preserve">
</t>
        </r>
      </text>
    </comment>
    <comment ref="F17"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based on the total output current requirement. A typical level is 140% of full load current.</t>
        </r>
      </text>
    </comment>
    <comment ref="F18"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 xml:space="preserve">.
</t>
        </r>
        <r>
          <rPr>
            <sz val="9"/>
            <color indexed="81"/>
            <rFont val="Tahoma"/>
            <family val="2"/>
          </rPr>
          <t xml:space="preserve">The resistances of </t>
        </r>
        <r>
          <rPr>
            <b/>
            <sz val="9"/>
            <color indexed="81"/>
            <rFont val="Tahoma"/>
            <family val="2"/>
          </rPr>
          <t>R</t>
        </r>
        <r>
          <rPr>
            <b/>
            <vertAlign val="subscript"/>
            <sz val="9"/>
            <color indexed="81"/>
            <rFont val="Tahoma"/>
            <family val="2"/>
          </rPr>
          <t>CS1</t>
        </r>
        <r>
          <rPr>
            <sz val="9"/>
            <color indexed="81"/>
            <rFont val="Tahoma"/>
            <family val="2"/>
          </rPr>
          <t xml:space="preserve"> and </t>
        </r>
        <r>
          <rPr>
            <b/>
            <sz val="9"/>
            <color indexed="81"/>
            <rFont val="Tahoma"/>
            <family val="2"/>
          </rPr>
          <t>R</t>
        </r>
        <r>
          <rPr>
            <b/>
            <vertAlign val="subscript"/>
            <sz val="9"/>
            <color indexed="81"/>
            <rFont val="Tahoma"/>
            <family val="2"/>
          </rPr>
          <t>CS2</t>
        </r>
        <r>
          <rPr>
            <sz val="9"/>
            <color indexed="81"/>
            <rFont val="Tahoma"/>
            <family val="2"/>
          </rPr>
          <t xml:space="preserve"> are equal for balanced common-mode filtering to the CS and VOUT pins.</t>
        </r>
      </text>
    </comment>
    <comment ref="F20"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1"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2"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3"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4"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7"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inductor current downslope di/dt equal to the slope compensation contribution.</t>
        </r>
      </text>
    </comment>
    <comment ref="F28"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Target inductor (peak-to-peak) ripple currrent is 30-40% of the DC full load current at nominal input voltage.
Setting the inductance equal to the recommended value gives ideal (one times inductor current downlope) slope compensation. As 0.5 times inductor current downslope is the absolute minimum slope comp requirement, do not choose an inductance less than half the recommended.</t>
        </r>
      </text>
    </comment>
    <comment ref="F29"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1" authorId="0" shapeId="0" xr:uid="{00000000-0006-0000-0000-000018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0.1 ms.</t>
        </r>
      </text>
    </comment>
    <comment ref="F53" authorId="0" shapeId="0" xr:uid="{00000000-0006-0000-0000-000019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hiccup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 ms.</t>
        </r>
      </text>
    </comment>
    <comment ref="F55" authorId="0" shapeId="0" xr:uid="{00000000-0006-0000-0000-00001A000000}">
      <text>
        <r>
          <rPr>
            <b/>
            <u/>
            <sz val="9"/>
            <color indexed="81"/>
            <rFont val="Tahoma"/>
            <family val="2"/>
          </rPr>
          <t>Dither Low Frequency Modulation</t>
        </r>
        <r>
          <rPr>
            <b/>
            <sz val="9"/>
            <color indexed="81"/>
            <rFont val="Tahoma"/>
            <family val="2"/>
          </rPr>
          <t>:</t>
        </r>
        <r>
          <rPr>
            <sz val="9"/>
            <color indexed="81"/>
            <rFont val="Tahoma"/>
            <family val="2"/>
          </rPr>
          <t xml:space="preserve">
Enter the desired dither low-frequency modulation rate. The dither capacitor charges and discharges in triangular fashion between 95% and 105% of the 1.2V bandgap, i.e. 120mV amplitude, and sets up a ±5% modulation of the nominal oscillator frequency.
Note that the LM5143-Q1 does not perform dither if the SYNC function is used.
</t>
        </r>
        <r>
          <rPr>
            <b/>
            <sz val="9"/>
            <color indexed="39"/>
            <rFont val="Tahoma"/>
            <family val="2"/>
          </rPr>
          <t xml:space="preserve">
If the dither feature is not required, the DITH pin should be tied to VDDA.</t>
        </r>
        <r>
          <rPr>
            <sz val="9"/>
            <color indexed="81"/>
            <rFont val="Tahoma"/>
            <family val="2"/>
          </rPr>
          <t xml:space="preserve">
</t>
        </r>
      </text>
    </comment>
    <comment ref="F63" authorId="0" shapeId="0" xr:uid="{00000000-0006-0000-0000-00001B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C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69" authorId="0" shapeId="0" xr:uid="{00000000-0006-0000-0000-00001D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3" authorId="2" shapeId="0" xr:uid="{00000000-0006-0000-0000-00001E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3" authorId="2" shapeId="0" xr:uid="{00000000-0006-0000-0000-00001F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low-side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4" authorId="2" shapeId="0" xr:uid="{00000000-0006-0000-0000-000020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4" authorId="2" shapeId="0" xr:uid="{00000000-0006-0000-0000-000021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low-side MOSFET here (at the appropriate gate drive level, typically 5V)</t>
        </r>
      </text>
    </comment>
    <comment ref="E85" authorId="2" shapeId="0" xr:uid="{00000000-0006-0000-0000-000022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5" authorId="2" shapeId="0" xr:uid="{00000000-0006-0000-0000-000023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low-side MOSFET here.</t>
        </r>
      </text>
    </comment>
    <comment ref="E86" authorId="2" shapeId="0" xr:uid="{00000000-0006-0000-0000-000024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6" authorId="2" shapeId="0" xr:uid="{00000000-0006-0000-0000-000025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low-side MOSFET gate-source charge here. </t>
        </r>
      </text>
    </comment>
    <comment ref="F87" authorId="2" shapeId="0" xr:uid="{00000000-0006-0000-0000-000026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charge here. </t>
        </r>
      </text>
    </comment>
    <comment ref="E88" authorId="2" shapeId="0" xr:uid="{00000000-0006-0000-0000-000027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8" authorId="2" shapeId="0" xr:uid="{00000000-0006-0000-0000-000028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9" authorId="2" shapeId="0" xr:uid="{00000000-0006-0000-0000-000029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9" authorId="2" shapeId="0" xr:uid="{00000000-0006-0000-0000-00002A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90" authorId="2" shapeId="0" xr:uid="{00000000-0006-0000-0000-00002B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0" authorId="2" shapeId="0" xr:uid="{00000000-0006-0000-0000-00002C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1" authorId="2" shapeId="0" xr:uid="{00000000-0006-0000-0000-00002D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1" authorId="2" shapeId="0" xr:uid="{00000000-0006-0000-0000-00002E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2" authorId="2" shapeId="0" xr:uid="{00000000-0006-0000-0000-00002F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2" authorId="2" shapeId="0" xr:uid="{00000000-0006-0000-0000-000030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3" authorId="2" shapeId="0" xr:uid="{00000000-0006-0000-0000-000031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4" authorId="2" shapeId="0" xr:uid="{00000000-0006-0000-0000-000032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4" authorId="2" shapeId="0" xr:uid="{00000000-0006-0000-0000-00003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7" authorId="1" shapeId="0" xr:uid="{00000000-0006-0000-0000-000034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8" authorId="1" shapeId="0" xr:uid="{00000000-0006-0000-0000-000035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3" authorId="1" shapeId="0" xr:uid="{00000000-0006-0000-0000-000036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4" authorId="1" shapeId="0" xr:uid="{00000000-0006-0000-0000-000037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sharedStrings.xml><?xml version="1.0" encoding="utf-8"?>
<sst xmlns="http://schemas.openxmlformats.org/spreadsheetml/2006/main" count="1964" uniqueCount="863">
  <si>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</si>
  <si>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</si>
  <si>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</si>
  <si>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</si>
  <si>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</si>
  <si>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</si>
  <si>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</si>
  <si>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</si>
  <si>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</si>
  <si>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</si>
  <si>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</si>
  <si>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</si>
  <si>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</si>
  <si>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</si>
  <si>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</si>
  <si>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</si>
  <si>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</si>
  <si>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</si>
  <si>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</si>
  <si>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</si>
  <si>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</si>
  <si>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</si>
  <si>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</si>
  <si>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</si>
  <si>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</si>
  <si>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</si>
  <si>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</si>
  <si>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</si>
  <si>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</si>
  <si>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</si>
  <si>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</si>
  <si>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</si>
  <si>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</si>
  <si>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</si>
  <si>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</si>
  <si>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</si>
  <si>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</si>
  <si>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</si>
  <si>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</si>
  <si>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</si>
  <si>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</si>
  <si>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</si>
  <si>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</si>
  <si>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</si>
  <si>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</si>
  <si>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</si>
  <si>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</si>
  <si>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</si>
  <si>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</si>
  <si>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</si>
  <si>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</si>
  <si>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</si>
  <si>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</si>
  <si>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</si>
  <si>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</si>
  <si>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</si>
  <si>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</si>
  <si>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</si>
  <si>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</si>
  <si>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</si>
  <si>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</si>
  <si>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</si>
  <si>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</si>
  <si>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</si>
  <si>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</si>
  <si>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</si>
  <si>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</si>
  <si>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</si>
  <si>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</si>
  <si>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</si>
  <si>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</si>
  <si>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</si>
  <si>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</si>
  <si>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</si>
  <si>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</si>
  <si>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</si>
  <si>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</si>
  <si>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</si>
  <si>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</si>
  <si>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</si>
  <si>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</si>
  <si>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</si>
  <si>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</si>
  <si>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</si>
  <si>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</si>
  <si>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</si>
  <si>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</si>
  <si>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</si>
  <si>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</si>
  <si>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</si>
  <si>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</si>
  <si>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</si>
  <si>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</si>
  <si>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</si>
  <si>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</si>
  <si>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</si>
  <si>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</si>
  <si>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</si>
  <si>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</si>
  <si>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</si>
  <si>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</si>
  <si>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</si>
  <si>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</si>
  <si>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</si>
  <si>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</si>
  <si>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</si>
  <si>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</si>
  <si>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</si>
  <si>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</si>
  <si>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</si>
  <si>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</si>
  <si>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</si>
  <si>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</si>
  <si>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</si>
  <si>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</si>
  <si>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</si>
  <si>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</si>
  <si>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</si>
  <si>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</si>
  <si>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</si>
  <si>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</si>
  <si>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</si>
  <si>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</si>
  <si>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</si>
  <si>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</si>
  <si>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</si>
  <si>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</si>
  <si>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</si>
  <si>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</si>
  <si>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</si>
  <si>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</si>
  <si>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</si>
  <si>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</si>
  <si>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</si>
  <si>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</si>
  <si>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</si>
  <si>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</si>
  <si>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</si>
  <si>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</si>
  <si>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</si>
  <si>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</si>
  <si>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</si>
  <si>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</si>
  <si>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</si>
  <si>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</si>
  <si>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</si>
  <si>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</si>
  <si>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</si>
  <si>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</si>
  <si>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</si>
  <si>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</si>
  <si>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</si>
  <si>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</si>
  <si>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</si>
  <si>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</si>
  <si>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</si>
  <si>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</si>
  <si>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</si>
  <si>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</si>
  <si>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</si>
  <si>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</si>
  <si>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</si>
  <si>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</si>
  <si>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</si>
  <si>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</si>
  <si>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</si>
  <si>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</si>
  <si>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</si>
  <si>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</si>
  <si>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</si>
  <si>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</si>
  <si>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</si>
  <si>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</si>
  <si>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</si>
  <si>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</si>
  <si>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</si>
  <si>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</si>
  <si>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</si>
  <si>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</si>
  <si>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</si>
  <si>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</si>
  <si>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</si>
  <si>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</si>
  <si>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</si>
  <si>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</si>
  <si>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</si>
  <si>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</si>
  <si>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</si>
  <si>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</si>
  <si>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</si>
  <si>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</si>
  <si>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</si>
  <si>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</si>
  <si>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</si>
  <si>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</si>
  <si>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</si>
  <si>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</si>
  <si>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</si>
  <si>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</si>
  <si>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</si>
  <si>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</si>
  <si>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</si>
  <si>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</si>
  <si>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</si>
  <si>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</si>
  <si>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</si>
  <si>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</si>
  <si>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</si>
  <si>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</si>
  <si>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</si>
  <si>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</si>
  <si>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</si>
  <si>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</si>
  <si>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</si>
  <si>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</si>
  <si>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</si>
  <si>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</si>
  <si>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</si>
  <si>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</si>
  <si>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</si>
  <si>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</si>
  <si>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</si>
  <si>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</si>
  <si>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</si>
  <si>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</si>
  <si>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</si>
  <si>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</si>
  <si>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</si>
  <si>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</si>
  <si>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</si>
  <si>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</si>
  <si>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</si>
  <si>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</si>
  <si>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r>
      <t>mV</t>
    </r>
    <r>
      <rPr>
        <vertAlign val="subscript"/>
        <sz val="10"/>
        <rFont val="Arial"/>
        <family val="2"/>
      </rPr>
      <t>pk-pk</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</si>
  <si>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</si>
  <si>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</si>
  <si>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</si>
  <si>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</si>
  <si>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</si>
  <si>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</si>
  <si>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</si>
  <si>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</si>
  <si>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</si>
  <si>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</si>
  <si>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</si>
  <si>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</si>
  <si>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</si>
  <si>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</si>
  <si>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</si>
  <si>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</si>
  <si>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</si>
  <si>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</si>
  <si>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</si>
  <si>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</si>
  <si>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</si>
  <si>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</si>
  <si>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</si>
  <si>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C1</t>
    </r>
  </si>
  <si>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</si>
  <si>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</si>
  <si>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</si>
  <si>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</si>
  <si>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</si>
  <si>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</si>
  <si>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</si>
  <si>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</si>
  <si>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</si>
  <si>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</si>
  <si>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</si>
  <si>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</si>
  <si>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</si>
  <si>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</si>
  <si>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</si>
  <si>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</si>
  <si>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</si>
  <si>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</si>
  <si>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</si>
  <si>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</si>
  <si>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</si>
  <si>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</si>
  <si>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</si>
  <si>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</si>
  <si>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</si>
  <si>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</si>
  <si>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</si>
  <si>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</si>
  <si>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</si>
  <si>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</si>
  <si>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</si>
  <si>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</si>
  <si>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</si>
  <si>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</si>
  <si>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</si>
  <si>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</si>
  <si>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</si>
  <si>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</si>
  <si>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</si>
  <si>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</si>
  <si>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</si>
  <si>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</si>
  <si>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</si>
  <si>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</si>
  <si>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</si>
  <si>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</si>
  <si>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</si>
  <si>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</si>
  <si>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</si>
  <si>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t>Sense Resistance, R</t>
    </r>
    <r>
      <rPr>
        <b/>
        <vertAlign val="subscript"/>
        <sz val="10"/>
        <color theme="1"/>
        <rFont val="Arial"/>
        <family val="2"/>
      </rPr>
      <t>S</t>
    </r>
  </si>
  <si>
    <t>Recommended Sense Resistance</t>
  </si>
  <si>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</si>
  <si>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</si>
  <si>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</si>
  <si>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</si>
  <si>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</si>
  <si>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</si>
  <si>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</si>
  <si>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</si>
  <si>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</si>
  <si>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</si>
  <si>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</si>
  <si>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</si>
  <si>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</si>
  <si>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</si>
  <si>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</si>
  <si>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</si>
  <si>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</si>
  <si>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</si>
  <si>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</si>
  <si>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</si>
  <si>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</si>
  <si>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</si>
  <si>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</si>
  <si>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</si>
  <si>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</si>
  <si>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</si>
  <si>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</si>
  <si>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</si>
  <si>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</si>
  <si>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</si>
  <si>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</si>
  <si>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</si>
  <si>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</si>
  <si>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</si>
  <si>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</si>
  <si>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</si>
  <si>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</si>
  <si>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</si>
  <si>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</si>
  <si>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</si>
  <si>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</si>
  <si>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</si>
  <si>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</si>
  <si>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</si>
  <si>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</si>
  <si>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</si>
  <si>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</si>
  <si>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</si>
  <si>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</si>
  <si>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</si>
  <si>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</si>
  <si>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</si>
  <si>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</si>
  <si>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</si>
  <si>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</si>
  <si>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</si>
  <si>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</si>
  <si>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</si>
  <si>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</si>
  <si>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</si>
  <si>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</si>
  <si>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</si>
  <si>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</si>
  <si>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</si>
  <si>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</si>
  <si>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</si>
  <si>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</si>
  <si>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</si>
  <si>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</si>
  <si>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</si>
  <si>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</si>
  <si>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</si>
  <si>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</si>
  <si>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</si>
  <si>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</si>
  <si>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</si>
  <si>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</si>
  <si>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</si>
  <si>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</si>
  <si>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</si>
  <si>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</si>
  <si>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</si>
  <si>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</si>
  <si>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</si>
  <si>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</si>
  <si>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</si>
  <si>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</si>
  <si>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</si>
  <si>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</si>
  <si>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</si>
  <si>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</si>
  <si>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</si>
  <si>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</si>
  <si>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</si>
  <si>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</si>
  <si>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</si>
  <si>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</si>
  <si>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</si>
  <si>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</si>
  <si>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</si>
  <si>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</si>
  <si>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</si>
  <si>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</si>
  <si>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</si>
  <si>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</si>
  <si>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</si>
  <si>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</si>
  <si>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</si>
  <si>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</si>
  <si>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</si>
  <si>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</si>
  <si>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</si>
  <si>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</si>
  <si>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</si>
  <si>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</si>
  <si>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</si>
  <si>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</si>
  <si>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</si>
  <si>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</si>
  <si>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</si>
  <si>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</si>
  <si>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</si>
  <si>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</si>
  <si>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</si>
  <si>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</si>
  <si>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</si>
  <si>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</si>
  <si>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</si>
  <si>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</si>
  <si>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</si>
  <si>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</si>
  <si>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</si>
  <si>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</si>
  <si>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</si>
  <si>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</si>
  <si>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</si>
  <si>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</si>
  <si>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</si>
  <si>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</si>
  <si>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</si>
  <si>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</si>
  <si>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</si>
  <si>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</si>
  <si>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</si>
  <si>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</si>
  <si>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</si>
  <si>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</si>
  <si>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</si>
  <si>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</si>
  <si>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</si>
  <si>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</si>
  <si>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</si>
  <si>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Effective input and output capacitances should be appropriately derated for applied voltage and temperature, particularly with ceramics **</t>
  </si>
  <si>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</si>
  <si>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</si>
  <si>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</si>
  <si>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</si>
  <si>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</si>
  <si>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</si>
  <si>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</si>
  <si>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</si>
  <si>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</si>
  <si>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</si>
  <si>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</si>
  <si>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</si>
  <si>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</si>
  <si>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</si>
  <si>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</si>
  <si>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</si>
  <si>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</si>
  <si>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</si>
  <si>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</si>
  <si>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</si>
  <si>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</si>
  <si>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</si>
  <si>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</si>
  <si>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</si>
  <si>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</si>
  <si>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</si>
  <si>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</si>
  <si>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</si>
  <si>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</si>
  <si>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</si>
  <si>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</si>
  <si>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</si>
  <si>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</si>
  <si>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</si>
  <si>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</si>
  <si>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</si>
  <si>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</si>
  <si>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</si>
  <si>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</si>
  <si>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</si>
  <si>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</si>
  <si>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</si>
  <si>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</si>
  <si>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</si>
  <si>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</si>
  <si>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</si>
  <si>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</si>
  <si>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</si>
  <si>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</si>
  <si>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</si>
  <si>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</si>
  <si>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</si>
  <si>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</si>
  <si>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</si>
  <si>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</si>
  <si>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</si>
  <si>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</si>
  <si>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</si>
  <si>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</si>
  <si>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</si>
  <si>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</si>
  <si>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</si>
  <si>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</si>
  <si>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</si>
  <si>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</si>
  <si>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</si>
  <si>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</si>
  <si>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</si>
  <si>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</si>
  <si>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</si>
  <si>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</si>
  <si>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</si>
  <si>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</si>
  <si>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</si>
  <si>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</si>
  <si>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</si>
  <si>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</si>
  <si>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</si>
  <si>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</si>
  <si>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</si>
  <si>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</si>
  <si>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</si>
  <si>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</si>
  <si>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</si>
  <si>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</si>
  <si>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</si>
  <si>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</si>
  <si>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</si>
  <si>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min of calculated inductances at VIN(min) and VIN(nom)</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</si>
  <si>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</si>
  <si>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</si>
  <si>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</si>
  <si>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</si>
  <si>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</si>
  <si>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</si>
  <si>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</si>
  <si>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</si>
  <si>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</si>
  <si>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</si>
  <si>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</si>
  <si>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</si>
  <si>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</si>
  <si>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</si>
  <si>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</si>
  <si>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</si>
  <si>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</si>
  <si>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</si>
  <si>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</si>
  <si>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</si>
  <si>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</si>
  <si>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</si>
  <si>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</si>
  <si>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</si>
  <si>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</si>
  <si>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</si>
  <si>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</si>
  <si>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</si>
  <si>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</si>
  <si>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</si>
  <si>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</si>
  <si>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</si>
  <si>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</si>
  <si>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</si>
  <si>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</si>
  <si>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</si>
  <si>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Transition Loss</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</si>
  <si>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</si>
  <si>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</si>
  <si>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</si>
  <si>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</si>
  <si>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</si>
  <si>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</si>
  <si>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</si>
  <si>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</si>
  <si>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</si>
  <si>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</si>
  <si>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</si>
  <si>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</si>
  <si>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</si>
  <si>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θJA</t>
  </si>
  <si>
    <t>10% load</t>
  </si>
  <si>
    <t>100% load</t>
  </si>
  <si>
    <t>50% load</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</si>
  <si>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</si>
  <si>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</si>
  <si>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</si>
  <si>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</si>
  <si>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DITHER Yes/No</t>
  </si>
  <si>
    <t>1 = Yes, 2 = No</t>
  </si>
  <si>
    <t>DITHER Disabled</t>
  </si>
  <si>
    <t>DITHER Enabled</t>
  </si>
  <si>
    <t>Modulating Frequency</t>
  </si>
  <si>
    <t>http://www.ti.com/product/lm5175</t>
  </si>
  <si>
    <t>VAR</t>
  </si>
  <si>
    <t>Step 4: Output Capacitors</t>
  </si>
  <si>
    <t>Step 5: Input Capacitors</t>
  </si>
  <si>
    <t>LM5143-Q1EVM-2100 PCB Layout</t>
  </si>
  <si>
    <t>Shunt or inductor DCR current sensing</t>
  </si>
  <si>
    <t>FPWM or DEM (DEMB)</t>
  </si>
  <si>
    <t>Single or dual output (MODE)</t>
  </si>
  <si>
    <t>With/without dither (DITH)</t>
  </si>
  <si>
    <t>3.3V or 5V fixed (FB1/2)</t>
  </si>
  <si>
    <t xml:space="preserve">Tie to VDDA or AGND for FPWM/DEM, respectively. </t>
  </si>
  <si>
    <t>VIN_nom</t>
  </si>
  <si>
    <t>Vout2</t>
  </si>
  <si>
    <t>Iout2</t>
  </si>
  <si>
    <t>Rout2</t>
  </si>
  <si>
    <t>Load resistance - Channel 1</t>
  </si>
  <si>
    <t>Calculate input power assuming finite efficiency</t>
  </si>
  <si>
    <t>Single/Dual Yes/No</t>
  </si>
  <si>
    <t>Ch2 Recommended Inductance</t>
  </si>
  <si>
    <r>
      <t>Ch2 Inductance, L</t>
    </r>
    <r>
      <rPr>
        <b/>
        <vertAlign val="subscript"/>
        <sz val="10"/>
        <color theme="1"/>
        <rFont val="Arial"/>
        <family val="2"/>
      </rPr>
      <t>O2</t>
    </r>
    <r>
      <rPr>
        <b/>
        <sz val="10"/>
        <color theme="1"/>
        <rFont val="Arial"/>
        <family val="2"/>
      </rPr>
      <t xml:space="preserve"> </t>
    </r>
  </si>
  <si>
    <r>
      <t>Ch1 Inductance, L</t>
    </r>
    <r>
      <rPr>
        <b/>
        <vertAlign val="subscript"/>
        <sz val="10"/>
        <color theme="1"/>
        <rFont val="Arial"/>
        <family val="2"/>
      </rPr>
      <t>O1</t>
    </r>
    <r>
      <rPr>
        <b/>
        <sz val="10"/>
        <color theme="1"/>
        <rFont val="Arial"/>
        <family val="2"/>
      </rPr>
      <t xml:space="preserve"> </t>
    </r>
  </si>
  <si>
    <t xml:space="preserve">Ch1 Inductor DCR </t>
  </si>
  <si>
    <t xml:space="preserve">Ch2 Inductor DCR </t>
  </si>
  <si>
    <r>
      <t>Output Voltage, V</t>
    </r>
    <r>
      <rPr>
        <b/>
        <vertAlign val="subscript"/>
        <sz val="10"/>
        <color theme="1"/>
        <rFont val="Arial"/>
        <family val="2"/>
      </rPr>
      <t>OUT2</t>
    </r>
    <r>
      <rPr>
        <b/>
        <sz val="10"/>
        <color theme="1"/>
        <rFont val="Arial"/>
        <family val="2"/>
      </rPr>
      <t xml:space="preserve"> </t>
    </r>
  </si>
  <si>
    <r>
      <t>Full Load Output Current, I</t>
    </r>
    <r>
      <rPr>
        <b/>
        <vertAlign val="subscript"/>
        <sz val="10"/>
        <color theme="1"/>
        <rFont val="Arial"/>
        <family val="2"/>
      </rPr>
      <t>OUT2</t>
    </r>
  </si>
  <si>
    <t>Output voltage - channel 1</t>
  </si>
  <si>
    <t>Output current - channel 1</t>
  </si>
  <si>
    <t>Output current - channel 2</t>
  </si>
  <si>
    <t>Output voltage - channel 2</t>
  </si>
  <si>
    <t>Switching period</t>
  </si>
  <si>
    <t>Reference voltage</t>
  </si>
  <si>
    <t>Frequency set resistor</t>
  </si>
  <si>
    <t>Nominal switching frequency - determines RT resistor (SYNCIN must be 80-120% of this)</t>
  </si>
  <si>
    <t>L_slopecomp</t>
  </si>
  <si>
    <t>Inductor copper temerature</t>
  </si>
  <si>
    <t>Channel 1</t>
  </si>
  <si>
    <t>Channel 2</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</si>
  <si>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</si>
  <si>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</si>
  <si>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</si>
  <si>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</si>
  <si>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</si>
  <si>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</si>
  <si>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</si>
  <si>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</si>
  <si>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</si>
  <si>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</si>
  <si>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</si>
  <si>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</si>
  <si>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</si>
  <si>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</si>
  <si>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</si>
  <si>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</si>
  <si>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</si>
  <si>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Max power loss in shunt</t>
  </si>
  <si>
    <t>Lo</t>
  </si>
  <si>
    <t>Note this is power loss at full load - not loss near OCP!</t>
  </si>
  <si>
    <t>Ripple current at Vin(max)</t>
  </si>
  <si>
    <r>
      <t>I</t>
    </r>
    <r>
      <rPr>
        <vertAlign val="subscript"/>
        <sz val="10"/>
        <rFont val="Arial"/>
        <family val="2"/>
      </rPr>
      <t>OUT2(typ)</t>
    </r>
    <r>
      <rPr>
        <sz val="10"/>
        <rFont val="Arial"/>
        <family val="2"/>
      </rPr>
      <t xml:space="preserve"> at OCP Inception:</t>
    </r>
  </si>
  <si>
    <r>
      <t>Min Inductor Sat Current, I</t>
    </r>
    <r>
      <rPr>
        <vertAlign val="subscript"/>
        <sz val="10"/>
        <color theme="1"/>
        <rFont val="Arial"/>
        <family val="2"/>
      </rPr>
      <t>LO2(SAT)</t>
    </r>
  </si>
  <si>
    <r>
      <t>Max power loss in shunt R</t>
    </r>
    <r>
      <rPr>
        <vertAlign val="subscript"/>
        <sz val="10"/>
        <color theme="1"/>
        <rFont val="Arial"/>
        <family val="2"/>
      </rPr>
      <t>S2</t>
    </r>
  </si>
  <si>
    <r>
      <rPr>
        <sz val="10"/>
        <rFont val="Symbol"/>
        <family val="1"/>
        <charset val="2"/>
      </rPr>
      <t>D</t>
    </r>
    <r>
      <rPr>
        <sz val="10"/>
        <rFont val="Arial"/>
        <family val="2"/>
      </rPr>
      <t>I</t>
    </r>
    <r>
      <rPr>
        <vertAlign val="subscript"/>
        <sz val="10"/>
        <rFont val="Arial"/>
        <family val="2"/>
      </rPr>
      <t>L2</t>
    </r>
    <r>
      <rPr>
        <sz val="10"/>
        <rFont val="Arial"/>
        <family val="2"/>
      </rPr>
      <t xml:space="preserve"> as a % at V</t>
    </r>
    <r>
      <rPr>
        <vertAlign val="subscript"/>
        <sz val="10"/>
        <rFont val="Arial"/>
        <family val="2"/>
      </rPr>
      <t>IN(nom)</t>
    </r>
  </si>
  <si>
    <r>
      <t>Sense Resistance, R</t>
    </r>
    <r>
      <rPr>
        <b/>
        <vertAlign val="subscript"/>
        <sz val="10"/>
        <color theme="1"/>
        <rFont val="Arial"/>
        <family val="2"/>
      </rPr>
      <t>S2</t>
    </r>
  </si>
  <si>
    <t>FPWM</t>
  </si>
  <si>
    <t>DEM</t>
  </si>
  <si>
    <t>FPWM/DEM</t>
  </si>
  <si>
    <t>Step 6b: Other Components - Dither, Hiccup, DEMB, MODE</t>
  </si>
  <si>
    <t>Tres</t>
  </si>
  <si>
    <t>Cres</t>
  </si>
  <si>
    <t>Cres_u</t>
  </si>
  <si>
    <r>
      <t>RES Capacitance, C</t>
    </r>
    <r>
      <rPr>
        <vertAlign val="subscript"/>
        <sz val="10"/>
        <rFont val="Arial"/>
        <family val="2"/>
      </rPr>
      <t>RES</t>
    </r>
    <r>
      <rPr>
        <sz val="10"/>
        <rFont val="Arial"/>
        <family val="2"/>
      </rPr>
      <t xml:space="preserve"> </t>
    </r>
  </si>
  <si>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</si>
  <si>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</si>
  <si>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</si>
  <si>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</si>
  <si>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</si>
  <si>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</si>
  <si>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</si>
  <si>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t>Step 6: Soft-start, Hiccup, Dither, DEMB, MODE</t>
  </si>
  <si>
    <r>
      <t>Min Inductor Sat Current, I</t>
    </r>
    <r>
      <rPr>
        <vertAlign val="subscript"/>
        <sz val="10"/>
        <color theme="1"/>
        <rFont val="Arial"/>
        <family val="2"/>
      </rPr>
      <t>LO(SAT)</t>
    </r>
  </si>
  <si>
    <t xml:space="preserve">Ch2 Output Capacitor ESR </t>
  </si>
  <si>
    <t xml:space="preserve">Ch2 Maximum Permitted ESR </t>
  </si>
  <si>
    <t>Ch2 Output Voltage Ripple Spec</t>
  </si>
  <si>
    <t xml:space="preserve">Ch2 Minimum Output Capacitance </t>
  </si>
  <si>
    <r>
      <t>Hiccup Fault Time, t</t>
    </r>
    <r>
      <rPr>
        <b/>
        <vertAlign val="subscript"/>
        <sz val="10"/>
        <color theme="1"/>
        <rFont val="Arial"/>
        <family val="2"/>
      </rPr>
      <t>RES</t>
    </r>
    <r>
      <rPr>
        <b/>
        <sz val="10"/>
        <color theme="1"/>
        <rFont val="Arial"/>
        <family val="2"/>
      </rPr>
      <t xml:space="preserve"> </t>
    </r>
  </si>
  <si>
    <t>VCC</t>
  </si>
  <si>
    <t>mc = 1 + Se/Sf for peak current-mode buck</t>
  </si>
  <si>
    <t>mc*(1-d)</t>
  </si>
  <si>
    <t>Ch1 Recommended Inductance</t>
  </si>
  <si>
    <t>This along with Rcea1 will set a zero at Fcrossover/5 to optimize phase margin</t>
  </si>
  <si>
    <t>Ch2 Load Pole Frequency</t>
  </si>
  <si>
    <t>Ch2 Error Amp Pole Frequency</t>
  </si>
  <si>
    <t>Ch2 Desired Crossover Frequency</t>
  </si>
  <si>
    <r>
      <t>Ch2</t>
    </r>
    <r>
      <rPr>
        <sz val="10"/>
        <rFont val="Arial"/>
        <family val="2"/>
      </rPr>
      <t xml:space="preserve"> ESR Zero Frequency </t>
    </r>
  </si>
  <si>
    <r>
      <t>R</t>
    </r>
    <r>
      <rPr>
        <b/>
        <vertAlign val="subscript"/>
        <sz val="10"/>
        <rFont val="Arial"/>
        <family val="2"/>
      </rPr>
      <t>C1</t>
    </r>
  </si>
  <si>
    <r>
      <t>R</t>
    </r>
    <r>
      <rPr>
        <b/>
        <vertAlign val="subscript"/>
        <sz val="10"/>
        <rFont val="Arial"/>
        <family val="2"/>
      </rPr>
      <t>C2</t>
    </r>
  </si>
  <si>
    <r>
      <t>C</t>
    </r>
    <r>
      <rPr>
        <b/>
        <vertAlign val="subscript"/>
        <sz val="10"/>
        <rFont val="Arial"/>
        <family val="2"/>
      </rPr>
      <t>C3</t>
    </r>
  </si>
  <si>
    <r>
      <t>C</t>
    </r>
    <r>
      <rPr>
        <b/>
        <vertAlign val="subscript"/>
        <sz val="10"/>
        <rFont val="Arial"/>
        <family val="2"/>
      </rPr>
      <t>C4</t>
    </r>
  </si>
  <si>
    <t>3.3V</t>
  </si>
  <si>
    <t>5V</t>
  </si>
  <si>
    <t>Adjustable</t>
  </si>
  <si>
    <t>Ch1 Output Setting</t>
  </si>
  <si>
    <t>Ch2 Output Setting</t>
  </si>
  <si>
    <r>
      <t>kHz (F</t>
    </r>
    <r>
      <rPr>
        <vertAlign val="subscript"/>
        <sz val="10"/>
        <rFont val="Arial"/>
        <family val="2"/>
      </rPr>
      <t>ZCOMP2</t>
    </r>
    <r>
      <rPr>
        <sz val="10"/>
        <rFont val="Arial"/>
        <family val="2"/>
      </rPr>
      <t>)</t>
    </r>
  </si>
  <si>
    <r>
      <t>kHz (F</t>
    </r>
    <r>
      <rPr>
        <vertAlign val="subscript"/>
        <sz val="10"/>
        <rFont val="Arial"/>
        <family val="2"/>
      </rPr>
      <t>PCOMP2</t>
    </r>
    <r>
      <rPr>
        <sz val="10"/>
        <rFont val="Arial"/>
        <family val="2"/>
      </rPr>
      <t>)</t>
    </r>
  </si>
  <si>
    <r>
      <t>Hz   (F</t>
    </r>
    <r>
      <rPr>
        <vertAlign val="subscript"/>
        <sz val="10"/>
        <rFont val="Arial"/>
        <family val="2"/>
      </rPr>
      <t>PEA2</t>
    </r>
    <r>
      <rPr>
        <sz val="10"/>
        <rFont val="Arial"/>
        <family val="2"/>
      </rPr>
      <t>)</t>
    </r>
  </si>
  <si>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</si>
  <si>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</si>
  <si>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</si>
  <si>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</si>
  <si>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</si>
  <si>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</si>
  <si>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</si>
  <si>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</si>
  <si>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</si>
  <si>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</si>
  <si>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</si>
  <si>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</si>
  <si>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</si>
  <si>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</si>
  <si>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</si>
  <si>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</si>
  <si>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Rfb3</t>
  </si>
  <si>
    <t>Rfb4</t>
  </si>
  <si>
    <t>High- &amp; low-side MOSFETs - Ch1</t>
  </si>
  <si>
    <t>High- &amp; low-side MOSFETs - Ch2</t>
  </si>
  <si>
    <t>with 170mA current limit</t>
  </si>
  <si>
    <t>Quiescent Current of LM5143-Q1 Controller (One channel disabled)</t>
  </si>
  <si>
    <t>Controller Characteristics</t>
  </si>
  <si>
    <t>Gate Charge at VCC = 5V</t>
  </si>
  <si>
    <t>Drain-Source Resistances of Channel 1 FETs</t>
  </si>
  <si>
    <t>Drain-Source Resistances of Channel 2 FETs</t>
  </si>
  <si>
    <t>Junction-to-Ambient Resistance</t>
  </si>
  <si>
    <t>Transconductance</t>
  </si>
  <si>
    <t>Threshold Voltage</t>
  </si>
  <si>
    <t>Switch Point Voltage of FETs</t>
  </si>
  <si>
    <t>** Specify Inductor Core Loss **</t>
  </si>
  <si>
    <t>Control MOSFET Loss</t>
  </si>
  <si>
    <t>SYNC MOSFET Loss</t>
  </si>
  <si>
    <t>BUCK CONTROLLER POWER DESIGN TOOL</t>
  </si>
  <si>
    <t>High-side</t>
  </si>
  <si>
    <t>High Efficiency Synchronous Buck Regulator BOM</t>
  </si>
  <si>
    <t>LM5143-Q1</t>
  </si>
  <si>
    <t>VQFN-40</t>
  </si>
  <si>
    <r>
      <t>L</t>
    </r>
    <r>
      <rPr>
        <vertAlign val="subscript"/>
        <sz val="10"/>
        <rFont val="Arial"/>
        <family val="2"/>
      </rPr>
      <t>O1</t>
    </r>
  </si>
  <si>
    <r>
      <t>L</t>
    </r>
    <r>
      <rPr>
        <vertAlign val="subscript"/>
        <sz val="10"/>
        <rFont val="Arial"/>
        <family val="2"/>
      </rPr>
      <t>O2</t>
    </r>
  </si>
  <si>
    <r>
      <t>D</t>
    </r>
    <r>
      <rPr>
        <vertAlign val="subscript"/>
        <sz val="10"/>
        <rFont val="Arial"/>
        <family val="2"/>
      </rPr>
      <t>BOOT1</t>
    </r>
    <r>
      <rPr>
        <sz val="10"/>
        <rFont val="Arial"/>
        <family val="2"/>
      </rPr>
      <t>, D</t>
    </r>
    <r>
      <rPr>
        <vertAlign val="subscript"/>
        <sz val="10"/>
        <rFont val="Arial"/>
        <family val="2"/>
      </rPr>
      <t>BOOT2</t>
    </r>
  </si>
  <si>
    <r>
      <t>R</t>
    </r>
    <r>
      <rPr>
        <vertAlign val="subscript"/>
        <sz val="10"/>
        <rFont val="Arial"/>
        <family val="2"/>
      </rPr>
      <t>C2</t>
    </r>
  </si>
  <si>
    <r>
      <t>R</t>
    </r>
    <r>
      <rPr>
        <vertAlign val="subscript"/>
        <sz val="10"/>
        <rFont val="Arial"/>
        <family val="2"/>
      </rPr>
      <t>S1</t>
    </r>
  </si>
  <si>
    <t>0508</t>
  </si>
  <si>
    <r>
      <t>R</t>
    </r>
    <r>
      <rPr>
        <vertAlign val="subscript"/>
        <sz val="10"/>
        <rFont val="Arial"/>
        <family val="2"/>
      </rPr>
      <t>S2</t>
    </r>
  </si>
  <si>
    <r>
      <t>R</t>
    </r>
    <r>
      <rPr>
        <vertAlign val="subscript"/>
        <sz val="10"/>
        <rFont val="Arial"/>
        <family val="2"/>
      </rPr>
      <t>FB3</t>
    </r>
  </si>
  <si>
    <r>
      <t>R</t>
    </r>
    <r>
      <rPr>
        <vertAlign val="subscript"/>
        <sz val="10"/>
        <rFont val="Arial"/>
        <family val="2"/>
      </rPr>
      <t>FB4</t>
    </r>
  </si>
  <si>
    <r>
      <t>C</t>
    </r>
    <r>
      <rPr>
        <vertAlign val="subscript"/>
        <sz val="10"/>
        <rFont val="Arial"/>
        <family val="2"/>
      </rPr>
      <t>SS1</t>
    </r>
    <r>
      <rPr>
        <sz val="10"/>
        <rFont val="Arial"/>
        <family val="2"/>
      </rPr>
      <t>, C</t>
    </r>
    <r>
      <rPr>
        <vertAlign val="subscript"/>
        <sz val="10"/>
        <rFont val="Arial"/>
        <family val="2"/>
      </rPr>
      <t>SS2</t>
    </r>
  </si>
  <si>
    <r>
      <t>C</t>
    </r>
    <r>
      <rPr>
        <vertAlign val="subscript"/>
        <sz val="10"/>
        <rFont val="Arial"/>
        <family val="2"/>
      </rPr>
      <t>VCC1</t>
    </r>
    <r>
      <rPr>
        <sz val="10"/>
        <rFont val="Arial"/>
        <family val="2"/>
      </rPr>
      <t>, C</t>
    </r>
    <r>
      <rPr>
        <vertAlign val="subscript"/>
        <sz val="10"/>
        <rFont val="Arial"/>
        <family val="2"/>
      </rPr>
      <t>VCC2</t>
    </r>
    <r>
      <rPr>
        <sz val="10"/>
        <rFont val="Arial"/>
        <family val="2"/>
      </rPr>
      <t>, C</t>
    </r>
    <r>
      <rPr>
        <vertAlign val="subscript"/>
        <sz val="10"/>
        <rFont val="Arial"/>
        <family val="2"/>
      </rPr>
      <t>VCCX</t>
    </r>
  </si>
  <si>
    <r>
      <t>C</t>
    </r>
    <r>
      <rPr>
        <vertAlign val="subscript"/>
        <sz val="10"/>
        <rFont val="Arial"/>
        <family val="2"/>
      </rPr>
      <t>RES</t>
    </r>
  </si>
  <si>
    <r>
      <t>C</t>
    </r>
    <r>
      <rPr>
        <vertAlign val="subscript"/>
        <sz val="10"/>
        <rFont val="Arial"/>
        <family val="2"/>
      </rPr>
      <t>C3</t>
    </r>
  </si>
  <si>
    <r>
      <t>C</t>
    </r>
    <r>
      <rPr>
        <vertAlign val="subscript"/>
        <sz val="10"/>
        <rFont val="Arial"/>
        <family val="2"/>
      </rPr>
      <t>C4</t>
    </r>
  </si>
  <si>
    <r>
      <t>C</t>
    </r>
    <r>
      <rPr>
        <vertAlign val="subscript"/>
        <sz val="10"/>
        <rFont val="Arial"/>
        <family val="2"/>
      </rPr>
      <t>VDDA</t>
    </r>
  </si>
  <si>
    <r>
      <t>R</t>
    </r>
    <r>
      <rPr>
        <vertAlign val="subscript"/>
        <sz val="10"/>
        <rFont val="Arial"/>
        <family val="2"/>
      </rPr>
      <t>PGOOD1</t>
    </r>
    <r>
      <rPr>
        <sz val="10"/>
        <rFont val="Arial"/>
        <family val="2"/>
      </rPr>
      <t>, R</t>
    </r>
    <r>
      <rPr>
        <vertAlign val="subscript"/>
        <sz val="10"/>
        <rFont val="Arial"/>
        <family val="2"/>
      </rPr>
      <t>PGOOD2</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</si>
  <si>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</si>
  <si>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</si>
  <si>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</si>
  <si>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</si>
  <si>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</si>
  <si>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r>
      <t>(Q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</si>
  <si>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t>Dual  Outputs</t>
  </si>
  <si>
    <t>Single Output – 2  Phases</t>
  </si>
  <si>
    <t>Single Output – 3  Phases</t>
  </si>
  <si>
    <t>Single Output – 4  Phases</t>
  </si>
  <si>
    <t>BODE_PLOT_TYPE</t>
  </si>
  <si>
    <r>
      <t xml:space="preserve">   ** For </t>
    </r>
    <r>
      <rPr>
        <b/>
        <sz val="10"/>
        <color rgb="FFFF0000"/>
        <rFont val="Arial"/>
        <family val="2"/>
      </rPr>
      <t>Dual-Output Operation</t>
    </r>
    <r>
      <rPr>
        <sz val="10"/>
        <rFont val="Arial"/>
        <family val="2"/>
      </rPr>
      <t>, tie FB1/FB2 to to VDDA for Fixed 3.3V, AGND for Fixed 5V Output **</t>
    </r>
  </si>
  <si>
    <t xml:space="preserve">   ** Tie MODE to VDDA for Single, AGND for Dual Outputs **</t>
  </si>
  <si>
    <t xml:space="preserve">   ** Tie DEMB to VDDA for FPWM, AGND for DCM **</t>
  </si>
  <si>
    <r>
      <t xml:space="preserve">   ** For </t>
    </r>
    <r>
      <rPr>
        <b/>
        <sz val="10"/>
        <color rgb="FFFF0000"/>
        <rFont val="Arial"/>
        <family val="2"/>
      </rPr>
      <t>Single-Output Operation in 2-Phase Mode</t>
    </r>
    <r>
      <rPr>
        <sz val="10"/>
        <rFont val="Arial"/>
        <family val="2"/>
      </rPr>
      <t>, tie MODE to VDDA and use FB1 to set VOUT. Connect FB2 to AGND to disable EA of channel 2 **</t>
    </r>
  </si>
  <si>
    <r>
      <t xml:space="preserve">   ** For </t>
    </r>
    <r>
      <rPr>
        <b/>
        <sz val="10"/>
        <color rgb="FFFF0000"/>
        <rFont val="Arial"/>
        <family val="2"/>
      </rPr>
      <t>Single-Output Operation in 3-Phase or 4-Phase Mode</t>
    </r>
    <r>
      <rPr>
        <sz val="10"/>
        <rFont val="Arial"/>
        <family val="2"/>
      </rPr>
      <t>, tie all MODE pins to VDDA. Use FB1 of master IC to set VOUT. Connect FB2 of master IC to AGND. Connect FB2 of slave IC to VDDA to configure it as a slave **</t>
    </r>
  </si>
  <si>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</si>
  <si>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</si>
  <si>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</si>
  <si>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</si>
  <si>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</si>
  <si>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</si>
  <si>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</si>
  <si>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</si>
  <si>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</si>
  <si>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</si>
  <si>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R</t>
    </r>
    <r>
      <rPr>
        <vertAlign val="subscript"/>
        <sz val="10"/>
        <rFont val="Arial"/>
        <family val="2"/>
      </rPr>
      <t>DEMB</t>
    </r>
  </si>
  <si>
    <r>
      <t>R</t>
    </r>
    <r>
      <rPr>
        <vertAlign val="subscript"/>
        <sz val="10"/>
        <rFont val="Arial"/>
        <family val="2"/>
      </rPr>
      <t>PG1</t>
    </r>
    <r>
      <rPr>
        <sz val="10"/>
        <rFont val="Arial"/>
        <family val="2"/>
      </rPr>
      <t>, R</t>
    </r>
    <r>
      <rPr>
        <vertAlign val="subscript"/>
        <sz val="10"/>
        <rFont val="Arial"/>
        <family val="2"/>
      </rPr>
      <t>PG2</t>
    </r>
  </si>
  <si>
    <t>Schottky Diode, 60V, 200mA</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</si>
  <si>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</si>
  <si>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</si>
  <si>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</si>
  <si>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</si>
  <si>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</si>
  <si>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</si>
  <si>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</si>
  <si>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</si>
  <si>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</si>
  <si>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</si>
  <si>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</si>
  <si>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Css2</t>
  </si>
  <si>
    <t>I_VCC</t>
  </si>
  <si>
    <t>LDO Loss Saved from Gate Drive Current (ext VCC)</t>
  </si>
  <si>
    <t>IC Power Dissipation</t>
  </si>
  <si>
    <t>Step 2: Current Sense Resistors</t>
  </si>
  <si>
    <t>Step 3: Buck Inductances</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</si>
  <si>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</si>
  <si>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</si>
  <si>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</si>
  <si>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</si>
  <si>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</si>
  <si>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</si>
  <si>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</si>
  <si>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</si>
  <si>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</si>
  <si>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</si>
  <si>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</si>
  <si>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</si>
  <si>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</si>
  <si>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</si>
  <si>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</si>
  <si>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</si>
  <si>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</si>
  <si>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</si>
  <si>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</si>
  <si>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</si>
  <si>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</si>
  <si>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</si>
  <si>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</si>
  <si>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Valley inductor Current</t>
  </si>
  <si>
    <t>SW node voltage at Q3 turn-on</t>
  </si>
  <si>
    <t>14ns for LM513-Q1</t>
  </si>
  <si>
    <t>Tsw (us)</t>
  </si>
  <si>
    <t>Slope comp amplitude</t>
  </si>
  <si>
    <r>
      <t>Output Capacitance (derated), C</t>
    </r>
    <r>
      <rPr>
        <b/>
        <vertAlign val="subscript"/>
        <sz val="10"/>
        <rFont val="Arial"/>
        <family val="2"/>
      </rPr>
      <t>OUT</t>
    </r>
    <r>
      <rPr>
        <b/>
        <sz val="10"/>
        <rFont val="Arial"/>
        <family val="2"/>
      </rPr>
      <t xml:space="preserve"> </t>
    </r>
  </si>
  <si>
    <r>
      <t>Ch2 Output Cap (derated), C</t>
    </r>
    <r>
      <rPr>
        <b/>
        <vertAlign val="subscript"/>
        <sz val="10"/>
        <rFont val="Arial"/>
        <family val="2"/>
      </rPr>
      <t>OUT2</t>
    </r>
    <r>
      <rPr>
        <b/>
        <sz val="10"/>
        <rFont val="Arial"/>
        <family val="2"/>
      </rPr>
      <t xml:space="preserve"> </t>
    </r>
  </si>
  <si>
    <t xml:space="preserve">                        LM(2)5143/-Q1 Synchronous Buck Controller Design Tool</t>
  </si>
  <si>
    <t>VARIANT</t>
  </si>
  <si>
    <t>VIN-MAX</t>
  </si>
  <si>
    <t>LM5143</t>
  </si>
  <si>
    <t>LM25143-Q1</t>
  </si>
  <si>
    <t>LM25143</t>
  </si>
  <si>
    <t>VOUT-MAX</t>
  </si>
  <si>
    <t xml:space="preserve"> LM(2)5143/-Q1 Quickstart Design Tool</t>
  </si>
  <si>
    <t>Shunt current sensing</t>
  </si>
  <si>
    <t>Inductor DCR current sensing</t>
  </si>
  <si>
    <t>SENSING_TYPE</t>
  </si>
  <si>
    <t>LM5143A-Q1</t>
  </si>
  <si>
    <t>NVMFS5H663, NVMFS5C628NL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</si>
</sst>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quot;Capacitor, Ceramic, &quot;General&quot;-µF, 25V, X5R, 20%&quot;"/>
    <numFmt numFmtId="177" formatCode="&quot;Capacitor, Ceramic, &quot;General&quot;-pF, 50V, NP0, 5%&quot;"/>
    <numFmt numFmtId="178" formatCode="&quot;Capacitor, Ceramic, &quot;General&quot;-nF, 16V, X7R, 10%&quot;"/>
    <numFmt numFmtId="179" formatCode="&quot;Capacitor, Ceramic, &quot;General&quot;-µF, 25V, X7R, 20%&quot;"/>
    <numFmt numFmtId="180" formatCode="General&quot;µH&quot;"/>
    <numFmt numFmtId="181" formatCode="&quot;Inductor, &quot;General&quot;-µH, 10%&quot;"/>
    <numFmt numFmtId="182" formatCode="&quot;Resistor, Chip, &quot;General&quot;-kΩ, 1/16W, 1%&quot;"/>
    <numFmt numFmtId="183" formatCode="&quot;Resistor, Chip, &quot;General&quot;-Ω, 1/16W, 1%&quot;"/>
    <numFmt numFmtId="184" formatCode="0.0%"/>
    <numFmt numFmtId="185" formatCode="0.0E+00"/>
    <numFmt numFmtId="186" formatCode="General&quot;m&quot;"/>
    <numFmt numFmtId="187" formatCode="&quot;Capacitor, Ceramic, &quot;General&quot;-µF, 50V, X7R, 20%&quot;"/>
    <numFmt numFmtId="188" formatCode="&quot;Resistor, Chip, &quot;General&quot;-mΩ, 2W, 1%&quot;"/>
    <numFmt numFmtId="189" formatCode="0.0.E+00"/>
    <numFmt numFmtId="190" formatCode="&quot;MOSFET, N-CH, 40V, &quot;General&quot;mΩ&quot;"/>
    <numFmt numFmtId="191" formatCode="&quot;Capacitor, Ceramic, &quot;General&quot;-µF, 10V, X7R, 20%&quot;"/>
  </numFmts>
  <fonts count="90"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perscript"/>
      <sz val="10"/>
      <name val="Arial"/>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10"/>
      <color rgb="FFCC00FF"/>
      <name val="Arial"/>
      <family val="2"/>
    </font>
    <font>
      <b/>
      <sz val="9"/>
      <color rgb="FF000000"/>
      <name val="Arial"/>
      <family val="2"/>
    </font>
  </fonts>
  <fills count="28">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92D050"/>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top style="medium">
        <color indexed="64"/>
      </top>
      <bottom style="thin">
        <color indexed="64"/>
      </bottom>
      <diagonal/>
    </border>
  </borders>
  <cellStyleXfs count="6">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cellStyleXfs>
  <cellXfs count="769">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4"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7" fillId="9" borderId="0" xfId="0" applyFont="1" applyFill="1"/>
    <xf numFmtId="1" fontId="3" fillId="19" borderId="0" xfId="0" applyNumberFormat="1" applyFont="1" applyFill="1" applyProtection="1">
      <protection locked="0"/>
    </xf>
    <xf numFmtId="0" fontId="59"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59" fillId="16" borderId="0" xfId="0" applyFont="1" applyFill="1"/>
    <xf numFmtId="1" fontId="56" fillId="9" borderId="0" xfId="0" applyNumberFormat="1" applyFont="1" applyFill="1" applyAlignment="1">
      <alignment horizontal="right"/>
    </xf>
    <xf numFmtId="0" fontId="61" fillId="15" borderId="19" xfId="0" applyFont="1" applyFill="1" applyBorder="1"/>
    <xf numFmtId="0" fontId="59"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2" fillId="9" borderId="0" xfId="0" applyFont="1" applyFill="1"/>
    <xf numFmtId="0" fontId="2" fillId="9" borderId="0" xfId="0" applyFont="1" applyFill="1" applyAlignment="1">
      <alignment horizontal="left"/>
    </xf>
    <xf numFmtId="0" fontId="60" fillId="19" borderId="0" xfId="0" applyFont="1" applyFill="1" applyAlignment="1" applyProtection="1">
      <alignment horizontal="right"/>
      <protection locked="0" hidden="1"/>
    </xf>
    <xf numFmtId="0" fontId="63" fillId="15" borderId="19" xfId="0" applyFont="1" applyFill="1" applyBorder="1"/>
    <xf numFmtId="0" fontId="22" fillId="9" borderId="28" xfId="0" applyFont="1" applyFill="1" applyBorder="1"/>
    <xf numFmtId="1" fontId="2" fillId="9" borderId="0" xfId="0" applyNumberFormat="1" applyFont="1" applyFill="1"/>
    <xf numFmtId="0" fontId="65"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5"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60" fillId="19" borderId="41" xfId="0" applyFont="1" applyFill="1" applyBorder="1" applyAlignment="1" applyProtection="1">
      <alignment horizontal="right"/>
      <protection locked="0" hidden="1"/>
    </xf>
    <xf numFmtId="0" fontId="60" fillId="9" borderId="42" xfId="0" applyFont="1" applyFill="1" applyBorder="1" applyAlignment="1">
      <alignment horizontal="left"/>
    </xf>
    <xf numFmtId="0" fontId="60"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60" fillId="19" borderId="45" xfId="0" applyFont="1" applyFill="1" applyBorder="1" applyAlignment="1" applyProtection="1">
      <alignment horizontal="right"/>
      <protection locked="0" hidden="1"/>
    </xf>
    <xf numFmtId="0" fontId="60"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1"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16" borderId="0" xfId="0" applyFont="1" applyFill="1" applyProtection="1">
      <protection locked="0"/>
    </xf>
    <xf numFmtId="0" fontId="2" fillId="9" borderId="44" xfId="0" applyFont="1" applyFill="1" applyBorder="1"/>
    <xf numFmtId="0" fontId="3" fillId="9" borderId="45" xfId="0" applyFont="1" applyFill="1" applyBorder="1"/>
    <xf numFmtId="0" fontId="2" fillId="9" borderId="48" xfId="0" applyFont="1" applyFill="1" applyBorder="1"/>
    <xf numFmtId="0" fontId="69" fillId="9" borderId="0" xfId="0" applyFont="1" applyFill="1"/>
    <xf numFmtId="0" fontId="69" fillId="9" borderId="29" xfId="0" applyFont="1" applyFill="1" applyBorder="1"/>
    <xf numFmtId="171" fontId="69" fillId="18" borderId="0" xfId="0" applyNumberFormat="1" applyFont="1" applyFill="1" applyAlignment="1">
      <alignment horizontal="center"/>
    </xf>
    <xf numFmtId="0" fontId="69" fillId="18" borderId="0" xfId="0" applyFont="1" applyFill="1"/>
    <xf numFmtId="171" fontId="69" fillId="3" borderId="0" xfId="0" applyNumberFormat="1" applyFont="1" applyFill="1" applyAlignment="1">
      <alignment horizontal="center"/>
    </xf>
    <xf numFmtId="0" fontId="69" fillId="3" borderId="0" xfId="0" applyFont="1" applyFill="1"/>
    <xf numFmtId="0" fontId="67"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8" fillId="9" borderId="28" xfId="0" applyFont="1" applyFill="1" applyBorder="1" applyAlignment="1">
      <alignment vertical="center"/>
    </xf>
    <xf numFmtId="0" fontId="67" fillId="9" borderId="0" xfId="0" applyFont="1" applyFill="1" applyAlignment="1">
      <alignment horizontal="right" vertical="center"/>
    </xf>
    <xf numFmtId="0" fontId="67" fillId="0" borderId="0" xfId="0" applyFont="1" applyAlignment="1">
      <alignment horizontal="left" vertical="center"/>
    </xf>
    <xf numFmtId="0" fontId="2" fillId="0" borderId="1" xfId="0" applyFont="1" applyBorder="1"/>
    <xf numFmtId="0" fontId="2" fillId="0" borderId="28" xfId="0" applyFont="1" applyBorder="1"/>
    <xf numFmtId="0" fontId="72"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49" fontId="2" fillId="16" borderId="11" xfId="3" applyNumberFormat="1" applyFill="1" applyBorder="1" applyAlignment="1">
      <alignment horizontal="left" vertical="center"/>
    </xf>
    <xf numFmtId="180"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4" fillId="16" borderId="0" xfId="0" applyFont="1" applyFill="1"/>
    <xf numFmtId="168"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5"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5" fillId="16"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1" fontId="2" fillId="9" borderId="0" xfId="0" applyNumberFormat="1" applyFont="1" applyFill="1" applyAlignment="1">
      <alignment horizontal="right" vertical="center"/>
    </xf>
    <xf numFmtId="0" fontId="65"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5"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5"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0" fontId="3" fillId="19" borderId="2" xfId="0" applyFont="1" applyFill="1" applyBorder="1" applyProtection="1">
      <protection locked="0"/>
    </xf>
    <xf numFmtId="0" fontId="64" fillId="16" borderId="0" xfId="0" applyFont="1" applyFill="1" applyAlignment="1">
      <alignment horizontal="center"/>
    </xf>
    <xf numFmtId="168" fontId="2" fillId="9" borderId="0" xfId="0" applyNumberFormat="1" applyFont="1" applyFill="1"/>
    <xf numFmtId="2" fontId="0" fillId="22" borderId="0" xfId="0" applyNumberFormat="1" applyFill="1"/>
    <xf numFmtId="1" fontId="0" fillId="12" borderId="0" xfId="0" applyNumberFormat="1" applyFill="1"/>
    <xf numFmtId="166" fontId="0" fillId="22" borderId="0" xfId="0" applyNumberFormat="1" applyFill="1"/>
    <xf numFmtId="166" fontId="0" fillId="12" borderId="0" xfId="0" applyNumberFormat="1" applyFill="1"/>
    <xf numFmtId="1" fontId="0" fillId="0" borderId="0" xfId="0" applyNumberFormat="1"/>
    <xf numFmtId="1" fontId="0" fillId="24" borderId="0" xfId="0" applyNumberFormat="1" applyFill="1"/>
    <xf numFmtId="166" fontId="0" fillId="0" borderId="0" xfId="0" applyNumberFormat="1"/>
    <xf numFmtId="168" fontId="0" fillId="22" borderId="0" xfId="0" applyNumberFormat="1" applyFill="1"/>
    <xf numFmtId="0" fontId="2" fillId="0" borderId="41" xfId="0" applyFont="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62"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72" fillId="0" borderId="77" xfId="0" applyFont="1" applyBorder="1"/>
    <xf numFmtId="1" fontId="62" fillId="0" borderId="0" xfId="0" applyNumberFormat="1" applyFont="1"/>
    <xf numFmtId="0" fontId="80" fillId="0" borderId="0" xfId="0" applyFont="1"/>
    <xf numFmtId="167" fontId="62"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5" fillId="0" borderId="0" xfId="0" applyNumberFormat="1" applyFont="1"/>
    <xf numFmtId="0" fontId="65" fillId="0" borderId="0" xfId="0" applyFont="1"/>
    <xf numFmtId="0" fontId="72" fillId="0" borderId="58" xfId="3" applyFont="1" applyBorder="1"/>
    <xf numFmtId="167" fontId="0" fillId="12" borderId="0" xfId="0" applyNumberFormat="1" applyFill="1"/>
    <xf numFmtId="166"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0" fontId="0" fillId="23" borderId="0" xfId="0" applyFill="1"/>
    <xf numFmtId="184"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5" fillId="0" borderId="0" xfId="0" applyNumberFormat="1" applyFont="1"/>
    <xf numFmtId="185" fontId="3" fillId="12" borderId="0" xfId="0" applyNumberFormat="1" applyFont="1" applyFill="1"/>
    <xf numFmtId="185" fontId="2" fillId="4" borderId="0" xfId="0" applyNumberFormat="1" applyFont="1" applyFill="1"/>
    <xf numFmtId="185" fontId="30" fillId="4" borderId="0" xfId="0" applyNumberFormat="1" applyFont="1" applyFill="1"/>
    <xf numFmtId="185" fontId="0" fillId="12" borderId="0" xfId="0" applyNumberFormat="1" applyFill="1"/>
    <xf numFmtId="185"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8" fontId="2" fillId="22" borderId="0" xfId="0" applyNumberFormat="1" applyFont="1" applyFill="1"/>
    <xf numFmtId="1" fontId="2" fillId="9" borderId="44" xfId="0" applyNumberFormat="1" applyFont="1" applyFill="1" applyBorder="1" applyAlignment="1">
      <alignment horizontal="right"/>
    </xf>
    <xf numFmtId="186" fontId="2" fillId="21" borderId="11" xfId="3" applyNumberFormat="1" applyFill="1" applyBorder="1" applyAlignment="1">
      <alignment horizontal="center" vertical="center"/>
    </xf>
    <xf numFmtId="172" fontId="2" fillId="21" borderId="11" xfId="3" applyNumberFormat="1" applyFill="1" applyBorder="1" applyAlignment="1">
      <alignment horizontal="center" vertical="center"/>
    </xf>
    <xf numFmtId="0" fontId="2" fillId="21" borderId="15" xfId="3" applyFill="1" applyBorder="1" applyAlignment="1">
      <alignment horizontal="left"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2"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62" fillId="19" borderId="23" xfId="0" applyFont="1" applyFill="1" applyBorder="1" applyAlignment="1">
      <alignment horizontal="center" vertical="center" wrapText="1"/>
    </xf>
    <xf numFmtId="0" fontId="3" fillId="0" borderId="0" xfId="0" applyFont="1" applyProtection="1">
      <protection locked="0"/>
    </xf>
    <xf numFmtId="0" fontId="3" fillId="9" borderId="77" xfId="0" applyFont="1" applyFill="1" applyBorder="1"/>
    <xf numFmtId="0" fontId="2" fillId="9" borderId="77" xfId="0" applyFont="1" applyFill="1" applyBorder="1"/>
    <xf numFmtId="0" fontId="2" fillId="9" borderId="76" xfId="0" applyFont="1" applyFill="1" applyBorder="1"/>
    <xf numFmtId="0" fontId="79"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7" fillId="9" borderId="77" xfId="0" applyFont="1" applyFill="1" applyBorder="1" applyAlignment="1">
      <alignment horizontal="left"/>
    </xf>
    <xf numFmtId="0" fontId="3" fillId="4" borderId="0" xfId="0" applyFont="1" applyFill="1"/>
    <xf numFmtId="0" fontId="73" fillId="3" borderId="49" xfId="3" applyFont="1" applyFill="1" applyBorder="1" applyAlignment="1">
      <alignment horizontal="center" vertical="center"/>
    </xf>
    <xf numFmtId="0" fontId="73" fillId="3" borderId="50" xfId="3" applyFont="1" applyFill="1" applyBorder="1" applyAlignment="1">
      <alignment horizontal="center" vertical="center"/>
    </xf>
    <xf numFmtId="0" fontId="73" fillId="3" borderId="50" xfId="3" applyFont="1" applyFill="1" applyBorder="1" applyAlignment="1">
      <alignment horizontal="left" vertical="center"/>
    </xf>
    <xf numFmtId="0" fontId="2" fillId="9" borderId="0" xfId="0" applyFont="1" applyFill="1" applyAlignment="1">
      <alignment horizontal="left" vertical="top"/>
    </xf>
    <xf numFmtId="0" fontId="2" fillId="9" borderId="0" xfId="0" applyFont="1" applyFill="1" applyAlignment="1">
      <alignment horizontal="right" vertical="top" readingOrder="1"/>
    </xf>
    <xf numFmtId="168" fontId="0" fillId="0" borderId="0" xfId="0" applyNumberFormat="1" applyAlignment="1">
      <alignment horizontal="left"/>
    </xf>
    <xf numFmtId="0" fontId="67" fillId="0" borderId="0" xfId="0" applyFont="1"/>
    <xf numFmtId="167"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69"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1"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3" fillId="25" borderId="0" xfId="2" applyFont="1" applyFill="1" applyBorder="1" applyAlignment="1" applyProtection="1">
      <alignment horizontal="left" vertical="center"/>
    </xf>
    <xf numFmtId="0" fontId="83" fillId="25" borderId="0" xfId="2" applyFont="1" applyFill="1" applyAlignment="1" applyProtection="1"/>
    <xf numFmtId="1" fontId="2" fillId="9" borderId="75" xfId="0" applyNumberFormat="1" applyFont="1" applyFill="1" applyBorder="1" applyAlignment="1">
      <alignment horizontal="right"/>
    </xf>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85" fontId="3" fillId="0" borderId="0" xfId="0" applyNumberFormat="1" applyFont="1"/>
    <xf numFmtId="2" fontId="30" fillId="0" borderId="0" xfId="0" applyNumberFormat="1" applyFont="1"/>
    <xf numFmtId="0" fontId="74"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4" fillId="22" borderId="0" xfId="0" applyNumberFormat="1" applyFont="1" applyFill="1"/>
    <xf numFmtId="0" fontId="64"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4" fillId="0" borderId="0" xfId="0" applyFont="1" applyAlignment="1">
      <alignment horizontal="left"/>
    </xf>
    <xf numFmtId="0" fontId="62" fillId="0" borderId="0" xfId="0" applyFont="1" applyAlignment="1">
      <alignment horizontal="right"/>
    </xf>
    <xf numFmtId="0" fontId="62"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84" fontId="0" fillId="0" borderId="0" xfId="0" applyNumberFormat="1"/>
    <xf numFmtId="0" fontId="3" fillId="0" borderId="28" xfId="0" applyFont="1" applyBorder="1" applyAlignment="1">
      <alignment horizontal="center"/>
    </xf>
    <xf numFmtId="167" fontId="82"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62" fillId="2" borderId="6" xfId="0" applyFont="1" applyFill="1" applyBorder="1" applyAlignment="1">
      <alignment horizontal="center" vertical="center" wrapText="1"/>
    </xf>
    <xf numFmtId="168" fontId="80" fillId="0" borderId="0" xfId="0" applyNumberFormat="1" applyFont="1"/>
    <xf numFmtId="10" fontId="80" fillId="0" borderId="0" xfId="0" applyNumberFormat="1" applyFont="1" applyAlignment="1">
      <alignment horizontal="center"/>
    </xf>
    <xf numFmtId="0" fontId="10" fillId="9" borderId="0" xfId="2" applyFill="1" applyAlignment="1" applyProtection="1"/>
    <xf numFmtId="0" fontId="3" fillId="19" borderId="0" xfId="0" applyFont="1" applyFill="1" applyAlignment="1" applyProtection="1">
      <alignment horizontal="right" vertical="center"/>
      <protection locked="0"/>
    </xf>
    <xf numFmtId="168" fontId="2" fillId="16" borderId="0" xfId="0" applyNumberFormat="1" applyFont="1" applyFill="1"/>
    <xf numFmtId="0" fontId="3" fillId="9" borderId="45" xfId="0" applyFont="1" applyFill="1" applyBorder="1" applyAlignment="1">
      <alignment horizontal="left" vertical="center"/>
    </xf>
    <xf numFmtId="0" fontId="64" fillId="0" borderId="28" xfId="0" applyFont="1" applyBorder="1"/>
    <xf numFmtId="1" fontId="67" fillId="0" borderId="0" xfId="0" applyNumberFormat="1" applyFont="1"/>
    <xf numFmtId="167" fontId="7" fillId="0" borderId="0" xfId="0" applyNumberFormat="1" applyFont="1"/>
    <xf numFmtId="2" fontId="64" fillId="9" borderId="2" xfId="1" applyNumberFormat="1" applyFont="1" applyFill="1" applyBorder="1" applyAlignment="1" applyProtection="1">
      <alignment horizontal="right"/>
    </xf>
    <xf numFmtId="0" fontId="17" fillId="16" borderId="41" xfId="0" applyFont="1" applyFill="1" applyBorder="1"/>
    <xf numFmtId="0" fontId="17" fillId="16" borderId="42" xfId="0" applyFont="1" applyFill="1" applyBorder="1"/>
    <xf numFmtId="0" fontId="57" fillId="9" borderId="43" xfId="0" applyFont="1" applyFill="1" applyBorder="1"/>
    <xf numFmtId="0" fontId="57" fillId="9" borderId="44" xfId="0" applyFont="1" applyFill="1" applyBorder="1"/>
    <xf numFmtId="1" fontId="2" fillId="9" borderId="45" xfId="0" applyNumberFormat="1" applyFont="1" applyFill="1" applyBorder="1" applyAlignment="1">
      <alignment vertical="center"/>
    </xf>
    <xf numFmtId="0" fontId="57" fillId="9" borderId="75" xfId="0" applyFont="1" applyFill="1" applyBorder="1"/>
    <xf numFmtId="0" fontId="65"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0" fontId="17" fillId="16" borderId="45" xfId="0" applyFont="1" applyFill="1" applyBorder="1"/>
    <xf numFmtId="0" fontId="65" fillId="9" borderId="45" xfId="0" applyFont="1" applyFill="1" applyBorder="1" applyAlignment="1">
      <alignment horizontal="right" vertical="center"/>
    </xf>
    <xf numFmtId="0" fontId="3" fillId="19" borderId="45" xfId="0" applyFont="1" applyFill="1" applyBorder="1" applyAlignment="1" applyProtection="1">
      <alignment vertical="center"/>
      <protection locked="0"/>
    </xf>
    <xf numFmtId="0" fontId="3" fillId="9" borderId="46" xfId="0" applyFont="1" applyFill="1" applyBorder="1" applyAlignment="1">
      <alignment vertical="center"/>
    </xf>
    <xf numFmtId="0" fontId="64" fillId="16" borderId="45" xfId="0" applyFont="1" applyFill="1" applyBorder="1" applyAlignment="1">
      <alignment horizontal="center"/>
    </xf>
    <xf numFmtId="168" fontId="2" fillId="9" borderId="45" xfId="0" applyNumberFormat="1" applyFont="1" applyFill="1" applyBorder="1" applyAlignment="1">
      <alignment vertical="center"/>
    </xf>
    <xf numFmtId="0" fontId="3" fillId="0" borderId="45" xfId="0" applyFont="1" applyBorder="1"/>
    <xf numFmtId="0" fontId="0" fillId="0" borderId="46" xfId="0" applyBorder="1"/>
    <xf numFmtId="2" fontId="8" fillId="0" borderId="0" xfId="0" applyNumberFormat="1" applyFont="1"/>
    <xf numFmtId="167" fontId="3" fillId="0" borderId="2" xfId="0" applyNumberFormat="1" applyFont="1" applyBorder="1"/>
    <xf numFmtId="2" fontId="2" fillId="22" borderId="0" xfId="0" applyNumberFormat="1" applyFont="1" applyFill="1"/>
    <xf numFmtId="167" fontId="2" fillId="22" borderId="0" xfId="0" applyNumberFormat="1" applyFont="1" applyFill="1"/>
    <xf numFmtId="0" fontId="2" fillId="27" borderId="0" xfId="0" applyFont="1" applyFill="1"/>
    <xf numFmtId="184" fontId="8" fillId="0" borderId="0" xfId="0" applyNumberFormat="1" applyFont="1"/>
    <xf numFmtId="167" fontId="0" fillId="24" borderId="0" xfId="0" applyNumberFormat="1" applyFill="1"/>
    <xf numFmtId="0" fontId="2" fillId="9" borderId="75" xfId="0" applyFont="1" applyFill="1" applyBorder="1"/>
    <xf numFmtId="0" fontId="58" fillId="9" borderId="44" xfId="0" applyFont="1" applyFill="1" applyBorder="1"/>
    <xf numFmtId="0" fontId="2" fillId="16" borderId="45" xfId="0" applyFont="1" applyFill="1" applyBorder="1" applyAlignment="1">
      <alignment horizontal="right" vertical="center"/>
    </xf>
    <xf numFmtId="0" fontId="85" fillId="9" borderId="0" xfId="0" applyFont="1" applyFill="1" applyAlignment="1">
      <alignment horizontal="right" vertical="center"/>
    </xf>
    <xf numFmtId="167" fontId="0" fillId="12" borderId="2" xfId="0" applyNumberFormat="1" applyFill="1" applyBorder="1"/>
    <xf numFmtId="2" fontId="2" fillId="9" borderId="31" xfId="0" applyNumberFormat="1" applyFont="1" applyFill="1" applyBorder="1"/>
    <xf numFmtId="167" fontId="0" fillId="4" borderId="2" xfId="0" applyNumberFormat="1" applyFill="1" applyBorder="1"/>
    <xf numFmtId="185" fontId="0" fillId="4" borderId="0" xfId="0" applyNumberFormat="1" applyFill="1"/>
    <xf numFmtId="0" fontId="85" fillId="9" borderId="45" xfId="0" applyFont="1" applyFill="1" applyBorder="1" applyAlignment="1">
      <alignment horizontal="right" vertical="center"/>
    </xf>
    <xf numFmtId="0" fontId="88" fillId="0" borderId="0" xfId="0" applyFont="1" applyAlignment="1">
      <alignment horizontal="left"/>
    </xf>
    <xf numFmtId="1" fontId="2" fillId="9" borderId="0" xfId="0" applyNumberFormat="1" applyFont="1" applyFill="1" applyAlignment="1">
      <alignment horizontal="right"/>
    </xf>
    <xf numFmtId="189" fontId="0" fillId="23" borderId="0" xfId="0" applyNumberFormat="1" applyFill="1"/>
    <xf numFmtId="168" fontId="2" fillId="9" borderId="31" xfId="0" applyNumberFormat="1" applyFont="1" applyFill="1" applyBorder="1" applyAlignment="1">
      <alignment vertical="center"/>
    </xf>
    <xf numFmtId="0" fontId="88" fillId="0" borderId="0" xfId="0" applyFont="1" applyAlignment="1">
      <alignment horizontal="right"/>
    </xf>
    <xf numFmtId="0" fontId="65"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7" fontId="8" fillId="7" borderId="11" xfId="0" applyNumberFormat="1" applyFont="1" applyFill="1" applyBorder="1"/>
    <xf numFmtId="167" fontId="15" fillId="7" borderId="11" xfId="0" applyNumberFormat="1" applyFont="1" applyFill="1" applyBorder="1"/>
    <xf numFmtId="167"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7"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8" fontId="67" fillId="9" borderId="45" xfId="0" applyNumberFormat="1" applyFont="1" applyFill="1" applyBorder="1" applyAlignment="1">
      <alignment horizontal="left" vertical="center"/>
    </xf>
    <xf numFmtId="1" fontId="3" fillId="0" borderId="0" xfId="3" applyNumberFormat="1" applyFont="1" applyAlignment="1">
      <alignment horizontal="right"/>
    </xf>
    <xf numFmtId="0" fontId="3" fillId="0" borderId="0" xfId="3" applyFont="1" applyAlignment="1">
      <alignment horizontal="right"/>
    </xf>
    <xf numFmtId="166" fontId="3" fillId="0" borderId="18" xfId="3" applyNumberFormat="1" applyFont="1" applyBorder="1" applyAlignment="1">
      <alignment horizontal="center"/>
    </xf>
    <xf numFmtId="166" fontId="3" fillId="0" borderId="11" xfId="3" applyNumberFormat="1" applyFont="1" applyBorder="1" applyAlignment="1">
      <alignment horizontal="center"/>
    </xf>
    <xf numFmtId="166" fontId="3" fillId="0" borderId="58" xfId="3" applyNumberFormat="1" applyFont="1" applyBorder="1" applyAlignment="1">
      <alignment horizontal="center"/>
    </xf>
    <xf numFmtId="166" fontId="3" fillId="0" borderId="12" xfId="3" applyNumberFormat="1" applyFont="1" applyBorder="1" applyAlignment="1">
      <alignment horizontal="center"/>
    </xf>
    <xf numFmtId="166" fontId="3" fillId="0" borderId="68" xfId="3" applyNumberFormat="1" applyFont="1" applyBorder="1" applyAlignment="1">
      <alignment horizontal="center"/>
    </xf>
    <xf numFmtId="166" fontId="3" fillId="0" borderId="8" xfId="3" applyNumberFormat="1" applyFont="1" applyBorder="1" applyAlignment="1">
      <alignment horizontal="center"/>
    </xf>
    <xf numFmtId="166" fontId="3" fillId="0" borderId="67" xfId="3" applyNumberFormat="1" applyFont="1" applyBorder="1" applyAlignment="1">
      <alignment horizontal="center"/>
    </xf>
    <xf numFmtId="166" fontId="3" fillId="0" borderId="69" xfId="3" applyNumberFormat="1" applyFont="1" applyBorder="1" applyAlignment="1">
      <alignment horizontal="center"/>
    </xf>
    <xf numFmtId="164" fontId="3" fillId="0" borderId="68" xfId="3" applyNumberFormat="1" applyFont="1" applyBorder="1" applyAlignment="1">
      <alignment horizontal="center"/>
    </xf>
    <xf numFmtId="2" fontId="3" fillId="0" borderId="67" xfId="3" applyNumberFormat="1" applyFont="1" applyBorder="1" applyAlignment="1">
      <alignment horizontal="center"/>
    </xf>
    <xf numFmtId="2" fontId="3" fillId="0" borderId="12" xfId="3" applyNumberFormat="1" applyFont="1" applyBorder="1" applyAlignment="1">
      <alignment horizontal="center"/>
    </xf>
    <xf numFmtId="2" fontId="3" fillId="0" borderId="58" xfId="3" applyNumberFormat="1" applyFont="1" applyBorder="1" applyAlignment="1">
      <alignment horizontal="center"/>
    </xf>
    <xf numFmtId="0" fontId="3" fillId="0" borderId="0" xfId="3" applyFont="1"/>
    <xf numFmtId="2" fontId="3" fillId="0" borderId="18" xfId="3" applyNumberFormat="1" applyFont="1" applyBorder="1" applyAlignment="1">
      <alignment horizontal="center"/>
    </xf>
    <xf numFmtId="0" fontId="3" fillId="0" borderId="63" xfId="3" applyFont="1" applyBorder="1" applyAlignment="1">
      <alignment horizontal="center"/>
    </xf>
    <xf numFmtId="0" fontId="3" fillId="0" borderId="71" xfId="3" applyFont="1" applyBorder="1" applyAlignment="1">
      <alignment horizontal="center"/>
    </xf>
    <xf numFmtId="164" fontId="3" fillId="0" borderId="67" xfId="3" applyNumberFormat="1" applyFont="1" applyBorder="1" applyAlignment="1">
      <alignment horizontal="center"/>
    </xf>
    <xf numFmtId="0" fontId="3" fillId="9" borderId="80" xfId="0" applyFont="1" applyFill="1" applyBorder="1"/>
    <xf numFmtId="0" fontId="67" fillId="9" borderId="0" xfId="0" applyFont="1" applyFill="1" applyAlignment="1">
      <alignment horizontal="right"/>
    </xf>
    <xf numFmtId="0" fontId="67" fillId="9" borderId="0" xfId="0" applyFont="1" applyFill="1" applyAlignment="1">
      <alignment horizontal="left"/>
    </xf>
    <xf numFmtId="0" fontId="62" fillId="9" borderId="0" xfId="0" applyFont="1" applyFill="1" applyProtection="1">
      <protection locked="0"/>
    </xf>
    <xf numFmtId="0" fontId="67" fillId="9" borderId="42" xfId="0" applyFont="1" applyFill="1" applyBorder="1" applyAlignment="1">
      <alignment horizontal="left"/>
    </xf>
    <xf numFmtId="0" fontId="67" fillId="9" borderId="42" xfId="0" applyFont="1" applyFill="1" applyBorder="1" applyAlignment="1">
      <alignment horizontal="righ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8"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6" borderId="29" xfId="0" applyFont="1" applyFill="1" applyBorder="1"/>
    <xf numFmtId="0" fontId="3" fillId="19" borderId="45" xfId="0" applyFont="1" applyFill="1" applyBorder="1" applyAlignment="1" applyProtection="1">
      <alignment horizontal="right" vertical="center"/>
      <protection locked="0"/>
    </xf>
    <xf numFmtId="0" fontId="3" fillId="16" borderId="0" xfId="0" applyFont="1" applyFill="1" applyAlignment="1">
      <alignment horizontal="right" vertical="center"/>
    </xf>
    <xf numFmtId="0" fontId="17" fillId="16" borderId="80" xfId="0" applyFont="1" applyFill="1" applyBorder="1"/>
    <xf numFmtId="0" fontId="3" fillId="16" borderId="0" xfId="0" applyFont="1" applyFill="1" applyAlignment="1">
      <alignment vertical="center"/>
    </xf>
    <xf numFmtId="0" fontId="3" fillId="16" borderId="0" xfId="0" applyFont="1" applyFill="1" applyAlignment="1" applyProtection="1">
      <alignment horizontal="right" vertical="center"/>
      <protection locked="0"/>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62" fillId="2" borderId="82" xfId="0" applyFont="1" applyFill="1" applyBorder="1" applyAlignment="1">
      <alignment horizontal="center" vertical="center" wrapText="1"/>
    </xf>
    <xf numFmtId="168" fontId="30" fillId="22" borderId="0" xfId="0" applyNumberFormat="1" applyFont="1" applyFill="1" applyAlignment="1">
      <alignment horizontal="right"/>
    </xf>
    <xf numFmtId="168" fontId="30" fillId="12" borderId="0" xfId="0" applyNumberFormat="1" applyFont="1" applyFill="1"/>
    <xf numFmtId="2" fontId="0" fillId="22" borderId="0" xfId="0" applyNumberFormat="1" applyFill="1" applyAlignment="1">
      <alignment horizontal="right"/>
    </xf>
    <xf numFmtId="2" fontId="0" fillId="0" borderId="0" xfId="0" applyNumberFormat="1" applyAlignment="1">
      <alignment horizontal="right"/>
    </xf>
    <xf numFmtId="168" fontId="30" fillId="0" borderId="0" xfId="0" applyNumberFormat="1" applyFont="1"/>
    <xf numFmtId="2" fontId="62" fillId="0" borderId="0" xfId="0" applyNumberFormat="1" applyFont="1"/>
    <xf numFmtId="2" fontId="2" fillId="9" borderId="31" xfId="0" applyNumberFormat="1" applyFont="1" applyFill="1" applyBorder="1" applyAlignment="1">
      <alignment vertical="center"/>
    </xf>
    <xf numFmtId="0" fontId="3" fillId="4" borderId="83" xfId="0" applyFont="1" applyFill="1" applyBorder="1" applyAlignment="1">
      <alignment horizontal="center"/>
    </xf>
    <xf numFmtId="2" fontId="3" fillId="2" borderId="82" xfId="0" applyNumberFormat="1" applyFont="1" applyFill="1" applyBorder="1" applyAlignment="1">
      <alignment horizontal="center" vertical="center" wrapText="1"/>
    </xf>
    <xf numFmtId="169" fontId="0" fillId="23" borderId="0" xfId="0" applyNumberFormat="1" applyFill="1"/>
    <xf numFmtId="0" fontId="3" fillId="24" borderId="0" xfId="0" applyFont="1" applyFill="1" applyAlignment="1">
      <alignment horizontal="right"/>
    </xf>
    <xf numFmtId="0" fontId="62" fillId="9" borderId="80" xfId="0" applyFont="1" applyFill="1" applyBorder="1" applyAlignment="1" applyProtection="1">
      <alignment horizontal="left"/>
      <protection locked="0"/>
    </xf>
    <xf numFmtId="0" fontId="62" fillId="9" borderId="0" xfId="0" applyFont="1" applyFill="1" applyAlignment="1" applyProtection="1">
      <alignment horizontal="left"/>
      <protection locked="0"/>
    </xf>
    <xf numFmtId="0" fontId="67" fillId="9" borderId="0" xfId="0" applyFont="1" applyFill="1" applyAlignment="1">
      <alignment horizontal="left" vertical="center"/>
    </xf>
    <xf numFmtId="0" fontId="24" fillId="25" borderId="0" xfId="0" applyFont="1" applyFill="1" applyAlignment="1">
      <alignment horizontal="center" vertical="center"/>
    </xf>
    <xf numFmtId="0" fontId="53" fillId="17" borderId="43" xfId="0" applyFont="1" applyFill="1" applyBorder="1" applyAlignment="1">
      <alignment horizontal="left" vertical="center"/>
    </xf>
    <xf numFmtId="0" fontId="53"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80" xfId="0" applyFont="1" applyFill="1" applyBorder="1" applyAlignment="1">
      <alignment horizontal="left" vertical="center" wrapText="1"/>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2" fillId="9" borderId="14" xfId="3" applyFont="1" applyFill="1" applyBorder="1" applyAlignment="1">
      <alignment horizontal="center" vertical="center"/>
    </xf>
    <xf numFmtId="0" fontId="62"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73" fillId="3" borderId="51" xfId="3" applyFont="1" applyFill="1" applyBorder="1" applyAlignment="1">
      <alignment horizontal="left" vertical="center"/>
    </xf>
    <xf numFmtId="0" fontId="73" fillId="3" borderId="52" xfId="3" applyFont="1" applyFill="1" applyBorder="1" applyAlignment="1">
      <alignment horizontal="left" vertical="center"/>
    </xf>
    <xf numFmtId="0" fontId="73" fillId="3" borderId="53" xfId="3" applyFont="1" applyFill="1" applyBorder="1" applyAlignment="1">
      <alignment horizontal="left" vertical="center"/>
    </xf>
    <xf numFmtId="178" fontId="2" fillId="21" borderId="8" xfId="3" applyNumberFormat="1" applyFill="1" applyBorder="1" applyAlignment="1">
      <alignment horizontal="left" vertical="center"/>
    </xf>
    <xf numFmtId="178" fontId="2" fillId="21" borderId="9" xfId="3" applyNumberFormat="1" applyFill="1" applyBorder="1" applyAlignment="1">
      <alignment horizontal="left" vertical="center"/>
    </xf>
    <xf numFmtId="182" fontId="2" fillId="16" borderId="8" xfId="3" applyNumberFormat="1" applyFill="1" applyBorder="1" applyAlignment="1">
      <alignment horizontal="left" vertical="center"/>
    </xf>
    <xf numFmtId="182" fontId="2" fillId="16" borderId="9" xfId="3" applyNumberFormat="1" applyFill="1" applyBorder="1" applyAlignment="1">
      <alignment horizontal="left" vertical="center"/>
    </xf>
    <xf numFmtId="182" fontId="2" fillId="16" borderId="15" xfId="3" applyNumberFormat="1" applyFill="1" applyBorder="1" applyAlignment="1">
      <alignment horizontal="left" vertical="center"/>
    </xf>
    <xf numFmtId="182" fontId="2" fillId="21" borderId="8" xfId="3" applyNumberFormat="1" applyFill="1" applyBorder="1" applyAlignment="1">
      <alignment horizontal="left" vertical="center"/>
    </xf>
    <xf numFmtId="182" fontId="2" fillId="21" borderId="9" xfId="3" applyNumberFormat="1" applyFill="1" applyBorder="1" applyAlignment="1">
      <alignment horizontal="left" vertical="center"/>
    </xf>
    <xf numFmtId="182" fontId="2" fillId="21" borderId="15" xfId="3" applyNumberFormat="1" applyFill="1" applyBorder="1" applyAlignment="1">
      <alignment horizontal="left" vertical="center"/>
    </xf>
    <xf numFmtId="190" fontId="2" fillId="16" borderId="8" xfId="3" applyNumberFormat="1" applyFill="1" applyBorder="1" applyAlignment="1">
      <alignment horizontal="left" vertical="center"/>
    </xf>
    <xf numFmtId="190" fontId="2" fillId="16" borderId="9" xfId="3" applyNumberFormat="1" applyFill="1" applyBorder="1" applyAlignment="1">
      <alignment horizontal="left" vertical="center"/>
    </xf>
    <xf numFmtId="190" fontId="2" fillId="16" borderId="15" xfId="3" applyNumberFormat="1" applyFill="1" applyBorder="1" applyAlignment="1">
      <alignment horizontal="left" vertical="center"/>
    </xf>
    <xf numFmtId="188" fontId="2" fillId="21" borderId="8" xfId="3" applyNumberFormat="1" applyFill="1" applyBorder="1" applyAlignment="1">
      <alignment horizontal="left" vertical="center"/>
    </xf>
    <xf numFmtId="188" fontId="2" fillId="21" borderId="9" xfId="3" applyNumberFormat="1" applyFill="1" applyBorder="1" applyAlignment="1">
      <alignment horizontal="left" vertical="center"/>
    </xf>
    <xf numFmtId="188" fontId="2" fillId="21" borderId="15" xfId="3" applyNumberFormat="1" applyFill="1" applyBorder="1" applyAlignment="1">
      <alignment horizontal="left" vertical="center"/>
    </xf>
    <xf numFmtId="181" fontId="2" fillId="20" borderId="8" xfId="3" applyNumberFormat="1" applyFill="1" applyBorder="1" applyAlignment="1">
      <alignment horizontal="left" vertical="center"/>
    </xf>
    <xf numFmtId="181" fontId="2" fillId="20" borderId="9" xfId="3" applyNumberFormat="1" applyFill="1" applyBorder="1" applyAlignment="1">
      <alignment horizontal="left" vertical="center"/>
    </xf>
    <xf numFmtId="181" fontId="2" fillId="20" borderId="15" xfId="3" applyNumberFormat="1" applyFill="1" applyBorder="1" applyAlignment="1">
      <alignment horizontal="left" vertical="center"/>
    </xf>
    <xf numFmtId="179" fontId="2" fillId="9" borderId="8" xfId="3" applyNumberFormat="1" applyFill="1" applyBorder="1" applyAlignment="1">
      <alignment horizontal="left" vertical="center"/>
    </xf>
    <xf numFmtId="179" fontId="2" fillId="9" borderId="9" xfId="3" applyNumberFormat="1" applyFill="1" applyBorder="1" applyAlignment="1">
      <alignment horizontal="left" vertical="center"/>
    </xf>
    <xf numFmtId="178" fontId="2" fillId="20" borderId="8" xfId="3" applyNumberFormat="1" applyFill="1" applyBorder="1" applyAlignment="1">
      <alignment horizontal="left" vertical="center"/>
    </xf>
    <xf numFmtId="178" fontId="2" fillId="20" borderId="9"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79" fontId="2" fillId="16" borderId="8" xfId="3" applyNumberFormat="1" applyFill="1" applyBorder="1" applyAlignment="1">
      <alignment horizontal="left" vertical="center"/>
    </xf>
    <xf numFmtId="179" fontId="2" fillId="16" borderId="9" xfId="3" applyNumberFormat="1" applyFill="1" applyBorder="1" applyAlignment="1">
      <alignment horizontal="left" vertical="center"/>
    </xf>
    <xf numFmtId="187" fontId="2" fillId="20" borderId="8" xfId="3" applyNumberFormat="1" applyFill="1" applyBorder="1" applyAlignment="1">
      <alignment horizontal="left" vertical="center"/>
    </xf>
    <xf numFmtId="187" fontId="2" fillId="20"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3" fontId="2" fillId="16" borderId="15" xfId="3" applyNumberFormat="1" applyFill="1" applyBorder="1" applyAlignment="1">
      <alignment horizontal="left" vertical="center"/>
    </xf>
    <xf numFmtId="176" fontId="2" fillId="16" borderId="8" xfId="3" applyNumberFormat="1" applyFill="1" applyBorder="1" applyAlignment="1">
      <alignment horizontal="left" vertical="center"/>
    </xf>
    <xf numFmtId="0" fontId="0" fillId="0" borderId="9" xfId="0" applyBorder="1"/>
    <xf numFmtId="191" fontId="2" fillId="20" borderId="8" xfId="3" applyNumberFormat="1" applyFill="1" applyBorder="1" applyAlignment="1">
      <alignment horizontal="left" vertical="center"/>
    </xf>
    <xf numFmtId="191" fontId="2" fillId="20" borderId="9" xfId="3" applyNumberFormat="1" applyFill="1" applyBorder="1" applyAlignment="1">
      <alignment horizontal="left" vertical="center"/>
    </xf>
    <xf numFmtId="0" fontId="51" fillId="16" borderId="28" xfId="0" applyFont="1" applyFill="1" applyBorder="1" applyAlignment="1">
      <alignment horizontal="left" vertical="center"/>
    </xf>
    <xf numFmtId="0" fontId="51"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9" fillId="4" borderId="74" xfId="3" applyFont="1" applyFill="1" applyBorder="1" applyAlignment="1">
      <alignment horizontal="center" vertical="center"/>
    </xf>
    <xf numFmtId="0" fontId="79"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9"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9" fillId="4" borderId="60" xfId="3" applyFont="1" applyFill="1" applyBorder="1" applyAlignment="1">
      <alignment horizontal="center"/>
    </xf>
    <xf numFmtId="0" fontId="79" fillId="4" borderId="62" xfId="3" applyFont="1" applyFill="1" applyBorder="1" applyAlignment="1">
      <alignment horizontal="center"/>
    </xf>
    <xf numFmtId="0" fontId="3" fillId="0" borderId="57" xfId="3" applyFont="1" applyBorder="1" applyAlignment="1">
      <alignment horizontal="center"/>
    </xf>
    <xf numFmtId="0" fontId="79" fillId="4" borderId="55" xfId="3" applyFont="1" applyFill="1" applyBorder="1" applyAlignment="1">
      <alignment horizontal="center"/>
    </xf>
    <xf numFmtId="0" fontId="79" fillId="4" borderId="56" xfId="3" applyFont="1" applyFill="1" applyBorder="1" applyAlignment="1">
      <alignment horizontal="center"/>
    </xf>
    <xf numFmtId="0" fontId="79"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24" borderId="0" xfId="0" applyFont="1" applyFill="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3" fillId="4" borderId="83" xfId="0" applyFont="1" applyFill="1" applyBorder="1" applyAlignment="1">
      <alignment horizontal="center"/>
    </xf>
  </cellXfs>
  <cellStyles count="6">
    <cellStyle name="Comma" xfId="1" builtinId="3"/>
    <cellStyle name="Comma 2" xfId="5" xr:uid="{00000000-0005-0000-0000-000001000000}"/>
    <cellStyle name="Hyperlink" xfId="2" builtinId="8"/>
    <cellStyle name="Normal" xfId="0" builtinId="0"/>
    <cellStyle name="Normal 2" xfId="3" xr:uid="{00000000-0005-0000-0000-000004000000}"/>
    <cellStyle name="Normal 3" xfId="4" xr:uid="{00000000-0005-0000-0000-000005000000}"/>
  </cellStyles>
  <dxfs count="30">
    <dxf>
      <font>
        <color theme="0"/>
      </font>
      <fill>
        <patternFill>
          <bgColor theme="0"/>
        </patternFill>
      </fill>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rgb="FFC00000"/>
      </font>
    </dxf>
    <dxf>
      <font>
        <color rgb="FFC00000"/>
      </font>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color rgb="FFFF0000"/>
      </font>
    </dxf>
    <dxf>
      <font>
        <b/>
        <i val="0"/>
        <color rgb="FFFF0000"/>
      </font>
    </dxf>
    <dxf>
      <font>
        <b/>
        <i val="0"/>
        <color rgb="FFFF0000"/>
      </font>
    </dxf>
    <dxf>
      <font>
        <color theme="0"/>
      </font>
    </dxf>
    <dxf>
      <font>
        <b/>
        <i val="0"/>
        <color rgb="FFC00000"/>
      </font>
    </dxf>
    <dxf>
      <font>
        <color theme="0"/>
      </font>
      <fill>
        <patternFill>
          <bgColor theme="0"/>
        </patternFill>
      </fill>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FF9900"/>
      <color rgb="FF0000FF"/>
      <color rgb="FFC00000"/>
      <color rgb="FF99CC00"/>
      <color rgb="FFCC00FF"/>
      <color rgb="FFC0C0C0"/>
      <color rgb="FFE8FCFE"/>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76.671884297013179</c:v>
                </c:pt>
                <c:pt idx="1">
                  <c:v>75.877862913042719</c:v>
                </c:pt>
                <c:pt idx="2">
                  <c:v>75.082901084121858</c:v>
                </c:pt>
                <c:pt idx="3">
                  <c:v>74.287137868189646</c:v>
                </c:pt>
                <c:pt idx="4">
                  <c:v>73.491210228052026</c:v>
                </c:pt>
                <c:pt idx="5">
                  <c:v>72.693890572379885</c:v>
                </c:pt>
                <c:pt idx="6">
                  <c:v>71.89639175887369</c:v>
                </c:pt>
                <c:pt idx="7">
                  <c:v>71.098256100913289</c:v>
                </c:pt>
                <c:pt idx="8">
                  <c:v>70.300122171686681</c:v>
                </c:pt>
                <c:pt idx="9">
                  <c:v>69.501433213270104</c:v>
                </c:pt>
                <c:pt idx="10">
                  <c:v>68.702688165635976</c:v>
                </c:pt>
                <c:pt idx="11">
                  <c:v>67.903806681165605</c:v>
                </c:pt>
                <c:pt idx="12">
                  <c:v>67.104393915766948</c:v>
                </c:pt>
                <c:pt idx="13">
                  <c:v>66.305241263416306</c:v>
                </c:pt>
                <c:pt idx="14">
                  <c:v>65.505730477049909</c:v>
                </c:pt>
                <c:pt idx="15">
                  <c:v>64.706185476977979</c:v>
                </c:pt>
                <c:pt idx="16">
                  <c:v>63.906555527884592</c:v>
                </c:pt>
                <c:pt idx="17">
                  <c:v>63.106965686203978</c:v>
                </c:pt>
                <c:pt idx="18">
                  <c:v>62.307192990222063</c:v>
                </c:pt>
                <c:pt idx="19">
                  <c:v>61.507459688680683</c:v>
                </c:pt>
                <c:pt idx="20">
                  <c:v>60.707612001966126</c:v>
                </c:pt>
                <c:pt idx="21">
                  <c:v>59.907817337782788</c:v>
                </c:pt>
                <c:pt idx="22">
                  <c:v>59.107907996557927</c:v>
                </c:pt>
                <c:pt idx="23">
                  <c:v>58.308084194708798</c:v>
                </c:pt>
                <c:pt idx="24">
                  <c:v>57.508144032949595</c:v>
                </c:pt>
                <c:pt idx="25">
                  <c:v>56.708212524772172</c:v>
                </c:pt>
                <c:pt idx="26">
                  <c:v>55.908104168069116</c:v>
                </c:pt>
                <c:pt idx="27">
                  <c:v>55.108074355477406</c:v>
                </c:pt>
                <c:pt idx="28">
                  <c:v>54.30809256733825</c:v>
                </c:pt>
                <c:pt idx="29">
                  <c:v>53.508656368856307</c:v>
                </c:pt>
                <c:pt idx="30">
                  <c:v>52.708414710594326</c:v>
                </c:pt>
                <c:pt idx="31">
                  <c:v>51.908486803014796</c:v>
                </c:pt>
                <c:pt idx="32">
                  <c:v>51.108331305063892</c:v>
                </c:pt>
                <c:pt idx="33">
                  <c:v>50.308519976101977</c:v>
                </c:pt>
                <c:pt idx="34">
                  <c:v>49.508437993334852</c:v>
                </c:pt>
                <c:pt idx="35">
                  <c:v>48.708538000199574</c:v>
                </c:pt>
                <c:pt idx="36">
                  <c:v>47.908700254622339</c:v>
                </c:pt>
                <c:pt idx="37">
                  <c:v>47.108497082005194</c:v>
                </c:pt>
                <c:pt idx="38">
                  <c:v>46.308693824916382</c:v>
                </c:pt>
                <c:pt idx="39">
                  <c:v>45.508649587732712</c:v>
                </c:pt>
                <c:pt idx="40">
                  <c:v>44.708670424431247</c:v>
                </c:pt>
                <c:pt idx="41">
                  <c:v>43.908690806717239</c:v>
                </c:pt>
                <c:pt idx="42">
                  <c:v>43.108823947259964</c:v>
                </c:pt>
                <c:pt idx="43">
                  <c:v>42.308837392139232</c:v>
                </c:pt>
                <c:pt idx="44">
                  <c:v>41.508946185084952</c:v>
                </c:pt>
                <c:pt idx="45">
                  <c:v>40.708991145905429</c:v>
                </c:pt>
                <c:pt idx="46">
                  <c:v>39.909136054380937</c:v>
                </c:pt>
                <c:pt idx="47">
                  <c:v>39.109211143722383</c:v>
                </c:pt>
                <c:pt idx="48">
                  <c:v>38.309416103348688</c:v>
                </c:pt>
                <c:pt idx="49">
                  <c:v>37.50955001847047</c:v>
                </c:pt>
                <c:pt idx="50">
                  <c:v>36.709740415821891</c:v>
                </c:pt>
                <c:pt idx="51">
                  <c:v>35.909805980159184</c:v>
                </c:pt>
                <c:pt idx="52">
                  <c:v>35.110007968722527</c:v>
                </c:pt>
                <c:pt idx="53">
                  <c:v>34.310323733666124</c:v>
                </c:pt>
                <c:pt idx="54">
                  <c:v>33.511260678192777</c:v>
                </c:pt>
                <c:pt idx="55">
                  <c:v>32.711481104137398</c:v>
                </c:pt>
                <c:pt idx="56">
                  <c:v>31.91211934243881</c:v>
                </c:pt>
                <c:pt idx="57">
                  <c:v>31.112653645843636</c:v>
                </c:pt>
                <c:pt idx="58">
                  <c:v>30.313678647743441</c:v>
                </c:pt>
                <c:pt idx="59">
                  <c:v>29.514608518268375</c:v>
                </c:pt>
                <c:pt idx="60">
                  <c:v>28.715929638328145</c:v>
                </c:pt>
                <c:pt idx="61">
                  <c:v>27.91756368947793</c:v>
                </c:pt>
                <c:pt idx="62">
                  <c:v>27.119133741575482</c:v>
                </c:pt>
                <c:pt idx="63">
                  <c:v>26.321463306692312</c:v>
                </c:pt>
                <c:pt idx="64">
                  <c:v>25.523985075247815</c:v>
                </c:pt>
                <c:pt idx="65">
                  <c:v>24.727090690732133</c:v>
                </c:pt>
                <c:pt idx="66">
                  <c:v>23.930818516136661</c:v>
                </c:pt>
                <c:pt idx="67">
                  <c:v>23.135405401905224</c:v>
                </c:pt>
                <c:pt idx="68">
                  <c:v>22.340769119146785</c:v>
                </c:pt>
                <c:pt idx="69">
                  <c:v>21.547301530152403</c:v>
                </c:pt>
                <c:pt idx="70">
                  <c:v>20.755057777130208</c:v>
                </c:pt>
                <c:pt idx="71">
                  <c:v>19.964454426542218</c:v>
                </c:pt>
                <c:pt idx="72">
                  <c:v>19.175627068724278</c:v>
                </c:pt>
                <c:pt idx="73">
                  <c:v>18.38913364206358</c:v>
                </c:pt>
                <c:pt idx="74">
                  <c:v>17.605205578402419</c:v>
                </c:pt>
                <c:pt idx="75">
                  <c:v>16.824476723763905</c:v>
                </c:pt>
                <c:pt idx="76">
                  <c:v>16.047372076235067</c:v>
                </c:pt>
                <c:pt idx="77">
                  <c:v>15.274853929628446</c:v>
                </c:pt>
                <c:pt idx="78">
                  <c:v>14.507729408883407</c:v>
                </c:pt>
                <c:pt idx="79">
                  <c:v>13.747446809308368</c:v>
                </c:pt>
                <c:pt idx="80">
                  <c:v>12.993860219360599</c:v>
                </c:pt>
                <c:pt idx="81">
                  <c:v>12.24933978258302</c:v>
                </c:pt>
                <c:pt idx="82">
                  <c:v>11.514877740266014</c:v>
                </c:pt>
                <c:pt idx="83">
                  <c:v>10.792690308610201</c:v>
                </c:pt>
                <c:pt idx="84">
                  <c:v>10.084115393023556</c:v>
                </c:pt>
                <c:pt idx="85">
                  <c:v>9.3916445221800728</c:v>
                </c:pt>
                <c:pt idx="86">
                  <c:v>8.7174297868579274</c:v>
                </c:pt>
                <c:pt idx="87">
                  <c:v>8.0635260057875886</c:v>
                </c:pt>
                <c:pt idx="88">
                  <c:v>7.433047498113174</c:v>
                </c:pt>
                <c:pt idx="89">
                  <c:v>6.8279859467451134</c:v>
                </c:pt>
                <c:pt idx="90">
                  <c:v>6.2510043622628491</c:v>
                </c:pt>
                <c:pt idx="91">
                  <c:v>5.7042853323969753</c:v>
                </c:pt>
                <c:pt idx="92">
                  <c:v>5.1898238070148786</c:v>
                </c:pt>
                <c:pt idx="93">
                  <c:v>4.7089677385277078</c:v>
                </c:pt>
                <c:pt idx="94">
                  <c:v>4.5941904540186123</c:v>
                </c:pt>
                <c:pt idx="95">
                  <c:v>4.5372689228656107</c:v>
                </c:pt>
                <c:pt idx="96">
                  <c:v>4.4815414008086583</c:v>
                </c:pt>
                <c:pt idx="97">
                  <c:v>4.4257241048269558</c:v>
                </c:pt>
                <c:pt idx="98">
                  <c:v>4.3710893572194083</c:v>
                </c:pt>
                <c:pt idx="99">
                  <c:v>4.3163646990974271</c:v>
                </c:pt>
                <c:pt idx="100">
                  <c:v>4.2628110513478141</c:v>
                </c:pt>
                <c:pt idx="101">
                  <c:v>4.2092086336115928</c:v>
                </c:pt>
                <c:pt idx="102">
                  <c:v>4.156763811953514</c:v>
                </c:pt>
                <c:pt idx="103">
                  <c:v>4.1042320172325635</c:v>
                </c:pt>
                <c:pt idx="104">
                  <c:v>4.0528459555946768</c:v>
                </c:pt>
                <c:pt idx="105">
                  <c:v>4.0014135211500417</c:v>
                </c:pt>
                <c:pt idx="106">
                  <c:v>3.9511130300786883</c:v>
                </c:pt>
                <c:pt idx="107">
                  <c:v>3.9008030672295533</c:v>
                </c:pt>
                <c:pt idx="108">
                  <c:v>3.8516094789863486</c:v>
                </c:pt>
                <c:pt idx="109">
                  <c:v>3.8024066560407248</c:v>
                </c:pt>
                <c:pt idx="110">
                  <c:v>3.7543044841679221</c:v>
                </c:pt>
                <c:pt idx="111">
                  <c:v>3.7061626778125047</c:v>
                </c:pt>
                <c:pt idx="112">
                  <c:v>3.6591070047778764</c:v>
                </c:pt>
                <c:pt idx="113">
                  <c:v>3.6120468176376757</c:v>
                </c:pt>
                <c:pt idx="114">
                  <c:v>3.5660564590024144</c:v>
                </c:pt>
                <c:pt idx="115">
                  <c:v>3.5200642458082001</c:v>
                </c:pt>
                <c:pt idx="116">
                  <c:v>3.4751252469175959</c:v>
                </c:pt>
                <c:pt idx="117">
                  <c:v>3.4301875492299407</c:v>
                </c:pt>
                <c:pt idx="118">
                  <c:v>3.3862861066086545</c:v>
                </c:pt>
                <c:pt idx="119">
                  <c:v>3.342415762289153</c:v>
                </c:pt>
                <c:pt idx="120">
                  <c:v>3.299563125976265</c:v>
                </c:pt>
                <c:pt idx="121">
                  <c:v>3.2567428984402809</c:v>
                </c:pt>
                <c:pt idx="122">
                  <c:v>3.2149215758549006</c:v>
                </c:pt>
                <c:pt idx="123">
                  <c:v>3.1731102976206067</c:v>
                </c:pt>
                <c:pt idx="124">
                  <c:v>3.1322799628407774</c:v>
                </c:pt>
                <c:pt idx="125">
                  <c:v>3.0914863866103044</c:v>
                </c:pt>
                <c:pt idx="126">
                  <c:v>3.0516543034728993</c:v>
                </c:pt>
                <c:pt idx="127">
                  <c:v>3.0118606360439202</c:v>
                </c:pt>
                <c:pt idx="128">
                  <c:v>2.9730087199322193</c:v>
                </c:pt>
                <c:pt idx="129">
                  <c:v>2.9341968074909515</c:v>
                </c:pt>
                <c:pt idx="130">
                  <c:v>2.8963066127422534</c:v>
                </c:pt>
                <c:pt idx="131">
                  <c:v>2.8584578552183522</c:v>
                </c:pt>
                <c:pt idx="132">
                  <c:v>2.8398734247989084</c:v>
                </c:pt>
                <c:pt idx="133">
                  <c:v>2.8215104949796426</c:v>
                </c:pt>
                <c:pt idx="134">
                  <c:v>2.8029365873423768</c:v>
                </c:pt>
                <c:pt idx="135">
                  <c:v>2.7845869534489487</c:v>
                </c:pt>
                <c:pt idx="136">
                  <c:v>2.7664577238035908</c:v>
                </c:pt>
                <c:pt idx="137">
                  <c:v>2.7485451060719015</c:v>
                </c:pt>
                <c:pt idx="138">
                  <c:v>2.7304459750044203</c:v>
                </c:pt>
                <c:pt idx="139">
                  <c:v>2.7125656198017118</c:v>
                </c:pt>
                <c:pt idx="140">
                  <c:v>2.6949002229913872</c:v>
                </c:pt>
                <c:pt idx="141">
                  <c:v>2.6774460440116559</c:v>
                </c:pt>
                <c:pt idx="142">
                  <c:v>2.6597929306130261</c:v>
                </c:pt>
                <c:pt idx="143">
                  <c:v>2.6423534774440065</c:v>
                </c:pt>
                <c:pt idx="144">
                  <c:v>2.6251239104855872</c:v>
                </c:pt>
                <c:pt idx="145">
                  <c:v>2.6081005326081947</c:v>
                </c:pt>
                <c:pt idx="146">
                  <c:v>2.5908924544825767</c:v>
                </c:pt>
                <c:pt idx="147">
                  <c:v>2.5738926368151409</c:v>
                </c:pt>
                <c:pt idx="148">
                  <c:v>2.5570973579300378</c:v>
                </c:pt>
                <c:pt idx="149">
                  <c:v>2.540502972777853</c:v>
                </c:pt>
                <c:pt idx="150">
                  <c:v>2.5237290942231274</c:v>
                </c:pt>
                <c:pt idx="151">
                  <c:v>2.5071580252345709</c:v>
                </c:pt>
                <c:pt idx="152">
                  <c:v>2.4907860994422268</c:v>
                </c:pt>
                <c:pt idx="153">
                  <c:v>2.4746097267520168</c:v>
                </c:pt>
                <c:pt idx="154">
                  <c:v>2.4582513978698257</c:v>
                </c:pt>
                <c:pt idx="155">
                  <c:v>2.4420905635291836</c:v>
                </c:pt>
                <c:pt idx="156">
                  <c:v>2.4261236106231925</c:v>
                </c:pt>
                <c:pt idx="157">
                  <c:v>2.4103470020187596</c:v>
                </c:pt>
                <c:pt idx="158">
                  <c:v>2.3943937702136355</c:v>
                </c:pt>
                <c:pt idx="159">
                  <c:v>2.3786326569937537</c:v>
                </c:pt>
                <c:pt idx="160">
                  <c:v>2.3630601058225293</c:v>
                </c:pt>
                <c:pt idx="161">
                  <c:v>2.3476726357332205</c:v>
                </c:pt>
                <c:pt idx="162">
                  <c:v>2.3321204054661351</c:v>
                </c:pt>
                <c:pt idx="163">
                  <c:v>2.3167547041330367</c:v>
                </c:pt>
                <c:pt idx="164">
                  <c:v>2.3015720394869996</c:v>
                </c:pt>
                <c:pt idx="165">
                  <c:v>2.2865689942148086</c:v>
                </c:pt>
                <c:pt idx="166">
                  <c:v>2.2713925603969889</c:v>
                </c:pt>
                <c:pt idx="167">
                  <c:v>2.2563973552520213</c:v>
                </c:pt>
                <c:pt idx="168">
                  <c:v>2.2415799445818227</c:v>
                </c:pt>
                <c:pt idx="169">
                  <c:v>2.2269369686480531</c:v>
                </c:pt>
                <c:pt idx="170">
                  <c:v>2.2121564379443952</c:v>
                </c:pt>
                <c:pt idx="171">
                  <c:v>2.1975510522669688</c:v>
                </c:pt>
                <c:pt idx="172">
                  <c:v>2.183117459712351</c:v>
                </c:pt>
                <c:pt idx="173">
                  <c:v>2.1688523816422163</c:v>
                </c:pt>
                <c:pt idx="174">
                  <c:v>2.1543992631618099</c:v>
                </c:pt>
                <c:pt idx="175">
                  <c:v>2.1401165121911911</c:v>
                </c:pt>
                <c:pt idx="176">
                  <c:v>2.1260008237525407</c:v>
                </c:pt>
                <c:pt idx="177">
                  <c:v>2.1120489659467117</c:v>
                </c:pt>
                <c:pt idx="178">
                  <c:v>2.0979206481379578</c:v>
                </c:pt>
                <c:pt idx="179">
                  <c:v>2.0839576755070479</c:v>
                </c:pt>
                <c:pt idx="180">
                  <c:v>2.0701567985575946</c:v>
                </c:pt>
                <c:pt idx="181">
                  <c:v>2.0565148404235574</c:v>
                </c:pt>
                <c:pt idx="182">
                  <c:v>2.0427605404182363</c:v>
                </c:pt>
                <c:pt idx="183">
                  <c:v>2.0291651258955796</c:v>
                </c:pt>
                <c:pt idx="184">
                  <c:v>2.0157254472569783</c:v>
                </c:pt>
                <c:pt idx="185">
                  <c:v>2.0024384257389003</c:v>
                </c:pt>
                <c:pt idx="186">
                  <c:v>1.9889424999579128</c:v>
                </c:pt>
                <c:pt idx="187">
                  <c:v>1.9756013599967071</c:v>
                </c:pt>
                <c:pt idx="188">
                  <c:v>1.9624118882386432</c:v>
                </c:pt>
                <c:pt idx="189">
                  <c:v>1.9493710381171259</c:v>
                </c:pt>
                <c:pt idx="190">
                  <c:v>1.9362311376516144</c:v>
                </c:pt>
                <c:pt idx="191">
                  <c:v>1.9232394145442369</c:v>
                </c:pt>
                <c:pt idx="192">
                  <c:v>1.9103928604465195</c:v>
                </c:pt>
                <c:pt idx="193">
                  <c:v>1.897688535914051</c:v>
                </c:pt>
                <c:pt idx="194">
                  <c:v>1.8847959990065073</c:v>
                </c:pt>
                <c:pt idx="195">
                  <c:v>1.8720471898049797</c:v>
                </c:pt>
                <c:pt idx="196">
                  <c:v>1.8594391461180326</c:v>
                </c:pt>
                <c:pt idx="197">
                  <c:v>1.8469689744046716</c:v>
                </c:pt>
                <c:pt idx="198">
                  <c:v>1.834365225725882</c:v>
                </c:pt>
                <c:pt idx="199">
                  <c:v>1.8218995553653783</c:v>
                </c:pt>
                <c:pt idx="200">
                  <c:v>1.8095690860200289</c:v>
                </c:pt>
                <c:pt idx="201">
                  <c:v>1.7973710075695315</c:v>
                </c:pt>
                <c:pt idx="202">
                  <c:v>1.7850453649637283</c:v>
                </c:pt>
                <c:pt idx="203">
                  <c:v>1.7728521280916008</c:v>
                </c:pt>
                <c:pt idx="204">
                  <c:v>1.7607885078880803</c:v>
                </c:pt>
                <c:pt idx="205">
                  <c:v>1.7488517808625224</c:v>
                </c:pt>
                <c:pt idx="206">
                  <c:v>1.7367517058061868</c:v>
                </c:pt>
                <c:pt idx="207">
                  <c:v>1.724779228066271</c:v>
                </c:pt>
                <c:pt idx="208">
                  <c:v>1.7129316219411275</c:v>
                </c:pt>
                <c:pt idx="209">
                  <c:v>1.701206226442159</c:v>
                </c:pt>
                <c:pt idx="210">
                  <c:v>1.689285215430312</c:v>
                </c:pt>
                <c:pt idx="211">
                  <c:v>1.6774876888012762</c:v>
                </c:pt>
                <c:pt idx="212">
                  <c:v>1.6658109634578624</c:v>
                </c:pt>
                <c:pt idx="213">
                  <c:v>1.6542524207963041</c:v>
                </c:pt>
                <c:pt idx="214">
                  <c:v>1.6425825651624224</c:v>
                </c:pt>
                <c:pt idx="215">
                  <c:v>1.6310303457397013</c:v>
                </c:pt>
                <c:pt idx="216">
                  <c:v>1.6195931802515415</c:v>
                </c:pt>
                <c:pt idx="217">
                  <c:v>1.6082685488125943</c:v>
                </c:pt>
                <c:pt idx="218">
                  <c:v>1.5967995502572507</c:v>
                </c:pt>
                <c:pt idx="219">
                  <c:v>1.585443136215563</c:v>
                </c:pt>
                <c:pt idx="220">
                  <c:v>1.5741968019588439</c:v>
                </c:pt>
                <c:pt idx="221">
                  <c:v>1.5630581037564337</c:v>
                </c:pt>
                <c:pt idx="222">
                  <c:v>1.5517798699845096</c:v>
                </c:pt>
                <c:pt idx="223">
                  <c:v>1.5406091479009454</c:v>
                </c:pt>
                <c:pt idx="224">
                  <c:v>1.5295435134815736</c:v>
                </c:pt>
                <c:pt idx="225">
                  <c:v>1.5185806021729538</c:v>
                </c:pt>
                <c:pt idx="226">
                  <c:v>1.507448653802768</c:v>
                </c:pt>
                <c:pt idx="227">
                  <c:v>1.4964197672676098</c:v>
                </c:pt>
                <c:pt idx="228">
                  <c:v>1.485491580484587</c:v>
                </c:pt>
                <c:pt idx="229">
                  <c:v>1.4746617898993473</c:v>
                </c:pt>
                <c:pt idx="230">
                  <c:v>1.4527733928463022</c:v>
                </c:pt>
                <c:pt idx="231">
                  <c:v>1.4419746910618394</c:v>
                </c:pt>
                <c:pt idx="232">
                  <c:v>1.4312699840006935</c:v>
                </c:pt>
                <c:pt idx="233">
                  <c:v>1.4204062493929337</c:v>
                </c:pt>
                <c:pt idx="234">
                  <c:v>1.4096364558038026</c:v>
                </c:pt>
                <c:pt idx="235">
                  <c:v>1.398958378513413</c:v>
                </c:pt>
                <c:pt idx="236">
                  <c:v>1.3883698489357466</c:v>
                </c:pt>
                <c:pt idx="237">
                  <c:v>1.3776565778423926</c:v>
                </c:pt>
                <c:pt idx="238">
                  <c:v>1.3670321360468882</c:v>
                </c:pt>
                <c:pt idx="239">
                  <c:v>1.3564943907111291</c:v>
                </c:pt>
                <c:pt idx="240">
                  <c:v>1.3460412631132921</c:v>
                </c:pt>
                <c:pt idx="241">
                  <c:v>1.3354066366000408</c:v>
                </c:pt>
                <c:pt idx="242">
                  <c:v>1.3248567494783225</c:v>
                </c:pt>
                <c:pt idx="243">
                  <c:v>1.3143895267288916</c:v>
                </c:pt>
                <c:pt idx="244">
                  <c:v>1.3040029465527225</c:v>
                </c:pt>
                <c:pt idx="245">
                  <c:v>1.2934674850217407</c:v>
                </c:pt>
                <c:pt idx="246">
                  <c:v>1.2830121717757921</c:v>
                </c:pt>
                <c:pt idx="247">
                  <c:v>1.2726350101166526</c:v>
                </c:pt>
                <c:pt idx="248">
                  <c:v>1.2623340549506732</c:v>
                </c:pt>
                <c:pt idx="249">
                  <c:v>1.2518588936264008</c:v>
                </c:pt>
                <c:pt idx="250">
                  <c:v>1.241459729008592</c:v>
                </c:pt>
                <c:pt idx="251">
                  <c:v>1.2311346289129224</c:v>
                </c:pt>
                <c:pt idx="252">
                  <c:v>1.2208817115938821</c:v>
                </c:pt>
                <c:pt idx="253">
                  <c:v>1.210484387310129</c:v>
                </c:pt>
                <c:pt idx="254">
                  <c:v>1.2001585219619075</c:v>
                </c:pt>
                <c:pt idx="255">
                  <c:v>1.1899022651693023</c:v>
                </c:pt>
                <c:pt idx="256">
                  <c:v>1.1797138152015394</c:v>
                </c:pt>
                <c:pt idx="257">
                  <c:v>1.169330041592652</c:v>
                </c:pt>
                <c:pt idx="258">
                  <c:v>1.1590139428909081</c:v>
                </c:pt>
                <c:pt idx="259">
                  <c:v>1.1487637239922999</c:v>
                </c:pt>
                <c:pt idx="260">
                  <c:v>1.1385776375584311</c:v>
                </c:pt>
                <c:pt idx="261">
                  <c:v>1.1282246120384885</c:v>
                </c:pt>
                <c:pt idx="262">
                  <c:v>1.1179351172197862</c:v>
                </c:pt>
                <c:pt idx="263">
                  <c:v>1.1077074298270257</c:v>
                </c:pt>
                <c:pt idx="264">
                  <c:v>1.0975398728667449</c:v>
                </c:pt>
                <c:pt idx="265">
                  <c:v>1.0872068206789001</c:v>
                </c:pt>
                <c:pt idx="266">
                  <c:v>1.076933199503459</c:v>
                </c:pt>
                <c:pt idx="267">
                  <c:v>1.0667173591534627</c:v>
                </c:pt>
                <c:pt idx="268">
                  <c:v>1.0565576941714827</c:v>
                </c:pt>
                <c:pt idx="269">
                  <c:v>1.0462092218549137</c:v>
                </c:pt>
                <c:pt idx="270">
                  <c:v>1.0359164009205237</c:v>
                </c:pt>
                <c:pt idx="271">
                  <c:v>1.0256776439789193</c:v>
                </c:pt>
                <c:pt idx="272">
                  <c:v>1.015491407169024</c:v>
                </c:pt>
                <c:pt idx="273">
                  <c:v>1.0051177545235275</c:v>
                </c:pt>
                <c:pt idx="274">
                  <c:v>0.99479598942847725</c:v>
                </c:pt>
                <c:pt idx="275">
                  <c:v>0.98452458943427068</c:v>
                </c:pt>
                <c:pt idx="276">
                  <c:v>0.97430207432553761</c:v>
                </c:pt>
                <c:pt idx="277">
                  <c:v>0.96391649319581663</c:v>
                </c:pt>
                <c:pt idx="278">
                  <c:v>0.95357885800732811</c:v>
                </c:pt>
                <c:pt idx="279">
                  <c:v>0.94328772252529947</c:v>
                </c:pt>
                <c:pt idx="280">
                  <c:v>0.93304168101821272</c:v>
                </c:pt>
                <c:pt idx="281">
                  <c:v>0.92256360209020938</c:v>
                </c:pt>
                <c:pt idx="282">
                  <c:v>0.91213021318194953</c:v>
                </c:pt>
                <c:pt idx="283">
                  <c:v>0.90174011660532027</c:v>
                </c:pt>
                <c:pt idx="284">
                  <c:v>0.89139195446178165</c:v>
                </c:pt>
                <c:pt idx="285">
                  <c:v>0.88088092273982532</c:v>
                </c:pt>
                <c:pt idx="286">
                  <c:v>0.87041076973469067</c:v>
                </c:pt>
                <c:pt idx="287">
                  <c:v>0.85998017546608074</c:v>
                </c:pt>
                <c:pt idx="288">
                  <c:v>0.84958785791570635</c:v>
                </c:pt>
                <c:pt idx="289">
                  <c:v>0.83896524306326048</c:v>
                </c:pt>
                <c:pt idx="290">
                  <c:v>0.82838029468299612</c:v>
                </c:pt>
                <c:pt idx="291">
                  <c:v>0.81783174566166406</c:v>
                </c:pt>
                <c:pt idx="292">
                  <c:v>0.80731836595333994</c:v>
                </c:pt>
                <c:pt idx="293">
                  <c:v>0.79659718264876811</c:v>
                </c:pt>
                <c:pt idx="294">
                  <c:v>0.78591032194246691</c:v>
                </c:pt>
                <c:pt idx="295">
                  <c:v>0.77525657961724104</c:v>
                </c:pt>
                <c:pt idx="296">
                  <c:v>0.76463478723289979</c:v>
                </c:pt>
                <c:pt idx="297">
                  <c:v>0.7538049370388844</c:v>
                </c:pt>
                <c:pt idx="298">
                  <c:v>0.74300613491406309</c:v>
                </c:pt>
                <c:pt idx="299">
                  <c:v>0.73223724036475801</c:v>
                </c:pt>
                <c:pt idx="300">
                  <c:v>0.72149714733612547</c:v>
                </c:pt>
                <c:pt idx="301">
                  <c:v>0.71054846967688201</c:v>
                </c:pt>
                <c:pt idx="302">
                  <c:v>0.69962764897809437</c:v>
                </c:pt>
                <c:pt idx="303">
                  <c:v>0.68873360890015278</c:v>
                </c:pt>
                <c:pt idx="304">
                  <c:v>0.67786530616924978</c:v>
                </c:pt>
                <c:pt idx="305">
                  <c:v>0.66674509669243731</c:v>
                </c:pt>
                <c:pt idx="306">
                  <c:v>0.65564983574566482</c:v>
                </c:pt>
                <c:pt idx="307">
                  <c:v>0.64457849968156999</c:v>
                </c:pt>
                <c:pt idx="308">
                  <c:v>0.63353009700457141</c:v>
                </c:pt>
                <c:pt idx="309">
                  <c:v>0.62227153923674017</c:v>
                </c:pt>
                <c:pt idx="310">
                  <c:v>0.61103490047700171</c:v>
                </c:pt>
                <c:pt idx="311">
                  <c:v>0.59981922249010411</c:v>
                </c:pt>
                <c:pt idx="312">
                  <c:v>0.58862357773784191</c:v>
                </c:pt>
                <c:pt idx="313">
                  <c:v>0.57717470227699486</c:v>
                </c:pt>
                <c:pt idx="314">
                  <c:v>0.56574497333686447</c:v>
                </c:pt>
                <c:pt idx="315">
                  <c:v>0.55433348773930247</c:v>
                </c:pt>
                <c:pt idx="316">
                  <c:v>0.54293937197351438</c:v>
                </c:pt>
                <c:pt idx="317">
                  <c:v>0.53129108086275056</c:v>
                </c:pt>
                <c:pt idx="318">
                  <c:v>0.51965923475849429</c:v>
                </c:pt>
                <c:pt idx="319">
                  <c:v>0.50804298678088478</c:v>
                </c:pt>
                <c:pt idx="320">
                  <c:v>0.49644151862791497</c:v>
                </c:pt>
                <c:pt idx="321">
                  <c:v>0.48458472366033922</c:v>
                </c:pt>
                <c:pt idx="322">
                  <c:v>0.47274175808866253</c:v>
                </c:pt>
                <c:pt idx="323">
                  <c:v>0.46091183217042486</c:v>
                </c:pt>
                <c:pt idx="324">
                  <c:v>0.44909418360374181</c:v>
                </c:pt>
                <c:pt idx="325">
                  <c:v>0.43701988454073687</c:v>
                </c:pt>
                <c:pt idx="326">
                  <c:v>0.42495689845500106</c:v>
                </c:pt>
                <c:pt idx="327">
                  <c:v>0.41290449321164652</c:v>
                </c:pt>
                <c:pt idx="328">
                  <c:v>0.40086196294220616</c:v>
                </c:pt>
                <c:pt idx="329">
                  <c:v>0.3885407570960811</c:v>
                </c:pt>
                <c:pt idx="330">
                  <c:v>0.37622848738533121</c:v>
                </c:pt>
                <c:pt idx="331">
                  <c:v>0.36392447609118922</c:v>
                </c:pt>
                <c:pt idx="332">
                  <c:v>0.35162807072547253</c:v>
                </c:pt>
                <c:pt idx="333">
                  <c:v>0.33907200053965297</c:v>
                </c:pt>
                <c:pt idx="334">
                  <c:v>0.32652256997011853</c:v>
                </c:pt>
                <c:pt idx="335">
                  <c:v>0.31397915937776788</c:v>
                </c:pt>
                <c:pt idx="336">
                  <c:v>0.30144117311836016</c:v>
                </c:pt>
                <c:pt idx="337">
                  <c:v>0.28860091028218054</c:v>
                </c:pt>
                <c:pt idx="338">
                  <c:v>0.27576514897510207</c:v>
                </c:pt>
                <c:pt idx="339">
                  <c:v>0.26293332184886953</c:v>
                </c:pt>
                <c:pt idx="340">
                  <c:v>0.25010488459308233</c:v>
                </c:pt>
                <c:pt idx="341">
                  <c:v>0.2369725142938649</c:v>
                </c:pt>
                <c:pt idx="342">
                  <c:v>0.22384261367930969</c:v>
                </c:pt>
                <c:pt idx="343">
                  <c:v>0.21071466848688739</c:v>
                </c:pt>
                <c:pt idx="344">
                  <c:v>0.19758818648304621</c:v>
                </c:pt>
                <c:pt idx="345">
                  <c:v>0.18417647870679055</c:v>
                </c:pt>
                <c:pt idx="346">
                  <c:v>0.17076532667517613</c:v>
                </c:pt>
                <c:pt idx="347">
                  <c:v>0.1573542716895594</c:v>
                </c:pt>
                <c:pt idx="348">
                  <c:v>0.1439428759042036</c:v>
                </c:pt>
                <c:pt idx="349">
                  <c:v>0.13020358301207896</c:v>
                </c:pt>
                <c:pt idx="350">
                  <c:v>0.11646306632373762</c:v>
                </c:pt>
                <c:pt idx="351">
                  <c:v>0.10272091856163595</c:v>
                </c:pt>
                <c:pt idx="352">
                  <c:v>8.8976752346641916E-2</c:v>
                </c:pt>
                <c:pt idx="353">
                  <c:v>7.4902868614969143E-2</c:v>
                </c:pt>
                <c:pt idx="354">
                  <c:v>6.0826108299561338E-2</c:v>
                </c:pt>
                <c:pt idx="355">
                  <c:v>4.6746115985459913E-2</c:v>
                </c:pt>
                <c:pt idx="356">
                  <c:v>3.2662555154696862E-2</c:v>
                </c:pt>
                <c:pt idx="357">
                  <c:v>1.8267922800180508E-2</c:v>
                </c:pt>
                <c:pt idx="358">
                  <c:v>3.8689117114587019E-3</c:v>
                </c:pt>
                <c:pt idx="359">
                  <c:v>-1.053478032627099E-2</c:v>
                </c:pt>
                <c:pt idx="360">
                  <c:v>-2.4943437769714319E-2</c:v>
                </c:pt>
                <c:pt idx="361">
                  <c:v>-3.970595269863407E-2</c:v>
                </c:pt>
                <c:pt idx="362">
                  <c:v>-5.4474225763975447E-2</c:v>
                </c:pt>
                <c:pt idx="363">
                  <c:v>-6.9248508829939909E-2</c:v>
                </c:pt>
                <c:pt idx="364">
                  <c:v>-8.4029036969049259E-2</c:v>
                </c:pt>
                <c:pt idx="365">
                  <c:v>-9.9144703922161306E-2</c:v>
                </c:pt>
                <c:pt idx="366">
                  <c:v>-0.11426734232386417</c:v>
                </c:pt>
                <c:pt idx="367">
                  <c:v>-0.12939715288937609</c:v>
                </c:pt>
                <c:pt idx="368">
                  <c:v>-0.14453432063404092</c:v>
                </c:pt>
                <c:pt idx="369">
                  <c:v>-0.16004949767422019</c:v>
                </c:pt>
                <c:pt idx="370">
                  <c:v>-0.1755727413338814</c:v>
                </c:pt>
                <c:pt idx="371">
                  <c:v>-0.19110420316681795</c:v>
                </c:pt>
                <c:pt idx="372">
                  <c:v>-0.20664401998126555</c:v>
                </c:pt>
                <c:pt idx="373">
                  <c:v>-0.22254297138527468</c:v>
                </c:pt>
                <c:pt idx="374">
                  <c:v>-0.23845090339097427</c:v>
                </c:pt>
                <c:pt idx="375">
                  <c:v>-0.25436791817423277</c:v>
                </c:pt>
                <c:pt idx="376">
                  <c:v>-0.27029410423252997</c:v>
                </c:pt>
                <c:pt idx="377">
                  <c:v>-0.28662235622083976</c:v>
                </c:pt>
                <c:pt idx="378">
                  <c:v>-0.3029603835582626</c:v>
                </c:pt>
                <c:pt idx="379">
                  <c:v>-0.31930824036161543</c:v>
                </c:pt>
                <c:pt idx="380">
                  <c:v>-0.33566596802920201</c:v>
                </c:pt>
                <c:pt idx="381">
                  <c:v>-0.35238591951899739</c:v>
                </c:pt>
                <c:pt idx="382">
                  <c:v>-0.36911622030782276</c:v>
                </c:pt>
                <c:pt idx="383">
                  <c:v>-0.38585687685234438</c:v>
                </c:pt>
                <c:pt idx="384">
                  <c:v>-0.40260788400649805</c:v>
                </c:pt>
                <c:pt idx="385">
                  <c:v>-0.41978475535864435</c:v>
                </c:pt>
                <c:pt idx="386">
                  <c:v>-0.43697245061411105</c:v>
                </c:pt>
                <c:pt idx="387">
                  <c:v>-0.4541709296156265</c:v>
                </c:pt>
                <c:pt idx="388">
                  <c:v>-0.47138014157311453</c:v>
                </c:pt>
                <c:pt idx="389">
                  <c:v>-0.4889957704945298</c:v>
                </c:pt>
                <c:pt idx="390">
                  <c:v>-0.50662249172927953</c:v>
                </c:pt>
                <c:pt idx="391">
                  <c:v>-0.52426021952833746</c:v>
                </c:pt>
                <c:pt idx="392">
                  <c:v>-0.54190885856557192</c:v>
                </c:pt>
                <c:pt idx="393">
                  <c:v>-0.55996503456860813</c:v>
                </c:pt>
                <c:pt idx="394">
                  <c:v>-0.57803238723461314</c:v>
                </c:pt>
                <c:pt idx="395">
                  <c:v>-0.59611078662153094</c:v>
                </c:pt>
                <c:pt idx="396">
                  <c:v>-0.61420009428475619</c:v>
                </c:pt>
                <c:pt idx="397">
                  <c:v>-0.63273971990400102</c:v>
                </c:pt>
                <c:pt idx="398">
                  <c:v>-0.65129047042967225</c:v>
                </c:pt>
                <c:pt idx="399">
                  <c:v>-0.6698521722159807</c:v>
                </c:pt>
                <c:pt idx="400">
                  <c:v>-0.68842464413514759</c:v>
                </c:pt>
                <c:pt idx="401">
                  <c:v>-0.70742730066097503</c:v>
                </c:pt>
                <c:pt idx="402">
                  <c:v>-0.72644081384781711</c:v>
                </c:pt>
                <c:pt idx="403">
                  <c:v>-0.74546496847427424</c:v>
                </c:pt>
                <c:pt idx="404">
                  <c:v>-0.76449954291433475</c:v>
                </c:pt>
                <c:pt idx="405">
                  <c:v>-0.78398586353344457</c:v>
                </c:pt>
                <c:pt idx="406">
                  <c:v>-0.8034826043729637</c:v>
                </c:pt>
                <c:pt idx="407">
                  <c:v>-0.82298950979009189</c:v>
                </c:pt>
                <c:pt idx="408">
                  <c:v>-0.84250631880101823</c:v>
                </c:pt>
                <c:pt idx="409">
                  <c:v>-0.86249629114595872</c:v>
                </c:pt>
                <c:pt idx="410">
                  <c:v>-0.88249607368236516</c:v>
                </c:pt>
                <c:pt idx="411">
                  <c:v>-0.90250537143592491</c:v>
                </c:pt>
                <c:pt idx="412">
                  <c:v>-0.9225238851498998</c:v>
                </c:pt>
                <c:pt idx="413">
                  <c:v>-0.94301569665278784</c:v>
                </c:pt>
                <c:pt idx="414">
                  <c:v>-0.96351651031142227</c:v>
                </c:pt>
                <c:pt idx="415">
                  <c:v>-0.98402599393028489</c:v>
                </c:pt>
                <c:pt idx="416">
                  <c:v>-1.0045438121048087</c:v>
                </c:pt>
                <c:pt idx="417">
                  <c:v>-1.0255559140589907</c:v>
                </c:pt>
                <c:pt idx="418">
                  <c:v>-1.0465760299181288</c:v>
                </c:pt>
                <c:pt idx="419">
                  <c:v>-1.0676037915564012</c:v>
                </c:pt>
                <c:pt idx="420">
                  <c:v>-1.0886388287100204</c:v>
                </c:pt>
                <c:pt idx="421">
                  <c:v>-1.1101465615236776</c:v>
                </c:pt>
                <c:pt idx="422">
                  <c:v>-1.1316611077246117</c:v>
                </c:pt>
                <c:pt idx="423">
                  <c:v>-1.1531820669595381</c:v>
                </c:pt>
                <c:pt idx="424">
                  <c:v>-1.1747090378185465</c:v>
                </c:pt>
                <c:pt idx="425">
                  <c:v>-1.1967715225206557</c:v>
                </c:pt>
                <c:pt idx="426">
                  <c:v>-1.2188394629659818</c:v>
                </c:pt>
                <c:pt idx="427">
                  <c:v>-1.2409124257443647</c:v>
                </c:pt>
                <c:pt idx="428">
                  <c:v>-1.2629899774599811</c:v>
                </c:pt>
                <c:pt idx="429">
                  <c:v>-1.2855808189196216</c:v>
                </c:pt>
                <c:pt idx="430">
                  <c:v>-1.3081755468288856</c:v>
                </c:pt>
                <c:pt idx="431">
                  <c:v>-1.3307736988237862</c:v>
                </c:pt>
                <c:pt idx="432">
                  <c:v>-1.3533748136271715</c:v>
                </c:pt>
                <c:pt idx="433">
                  <c:v>-1.3764878338566569</c:v>
                </c:pt>
                <c:pt idx="434">
                  <c:v>-1.3996029809395449</c:v>
                </c:pt>
                <c:pt idx="435">
                  <c:v>-1.422719766718106</c:v>
                </c:pt>
                <c:pt idx="436">
                  <c:v>-1.4458377051810558</c:v>
                </c:pt>
                <c:pt idx="437">
                  <c:v>-1.46950827628481</c:v>
                </c:pt>
                <c:pt idx="438">
                  <c:v>-1.4931790323980501</c:v>
                </c:pt>
                <c:pt idx="439">
                  <c:v>-1.5168494601757807</c:v>
                </c:pt>
                <c:pt idx="440">
                  <c:v>-1.5405190494804271</c:v>
                </c:pt>
                <c:pt idx="441">
                  <c:v>-1.5647391787017397</c:v>
                </c:pt>
                <c:pt idx="442">
                  <c:v>-1.5889573600819458</c:v>
                </c:pt>
                <c:pt idx="443">
                  <c:v>-1.6131730585384263</c:v>
                </c:pt>
                <c:pt idx="444">
                  <c:v>-1.6373857432402437</c:v>
                </c:pt>
                <c:pt idx="445">
                  <c:v>-1.6621464968765189</c:v>
                </c:pt>
                <c:pt idx="446">
                  <c:v>-1.6869029888643952</c:v>
                </c:pt>
                <c:pt idx="447">
                  <c:v>-1.7116546660246685</c:v>
                </c:pt>
                <c:pt idx="448">
                  <c:v>-1.7364009804470588</c:v>
                </c:pt>
                <c:pt idx="449">
                  <c:v>-1.7617349128331414</c:v>
                </c:pt>
                <c:pt idx="450">
                  <c:v>-1.7870620767038194</c:v>
                </c:pt>
                <c:pt idx="451">
                  <c:v>-1.8123819017249025</c:v>
                </c:pt>
                <c:pt idx="452">
                  <c:v>-1.83769382385392</c:v>
                </c:pt>
                <c:pt idx="453">
                  <c:v>-1.8635688934060655</c:v>
                </c:pt>
                <c:pt idx="454">
                  <c:v>-1.8894345265025114</c:v>
                </c:pt>
                <c:pt idx="455">
                  <c:v>-1.9152901410179917</c:v>
                </c:pt>
                <c:pt idx="456">
                  <c:v>-1.9411351620832449</c:v>
                </c:pt>
                <c:pt idx="457">
                  <c:v>-1.9675819604857445</c:v>
                </c:pt>
                <c:pt idx="458">
                  <c:v>-1.9940164610092304</c:v>
                </c:pt>
                <c:pt idx="459">
                  <c:v>-2.0204380709320438</c:v>
                </c:pt>
                <c:pt idx="460">
                  <c:v>-2.0468462057555676</c:v>
                </c:pt>
                <c:pt idx="461">
                  <c:v>-2.0738519713004893</c:v>
                </c:pt>
                <c:pt idx="462">
                  <c:v>-2.1008424182802261</c:v>
                </c:pt>
                <c:pt idx="463">
                  <c:v>-2.1278169475623097</c:v>
                </c:pt>
                <c:pt idx="464">
                  <c:v>-2.1547749691549396</c:v>
                </c:pt>
                <c:pt idx="465">
                  <c:v>-2.1823471207447986</c:v>
                </c:pt>
                <c:pt idx="466">
                  <c:v>-2.2099007607169492</c:v>
                </c:pt>
                <c:pt idx="467">
                  <c:v>-2.237435286398048</c:v>
                </c:pt>
                <c:pt idx="468">
                  <c:v>-2.2649501051447416</c:v>
                </c:pt>
                <c:pt idx="469">
                  <c:v>-2.2930740378460812</c:v>
                </c:pt>
                <c:pt idx="470">
                  <c:v>-2.3211761283142036</c:v>
                </c:pt>
                <c:pt idx="471">
                  <c:v>-2.3492557746731495</c:v>
                </c:pt>
                <c:pt idx="472">
                  <c:v>-2.3773123859023264</c:v>
                </c:pt>
                <c:pt idx="473">
                  <c:v>-2.4060145330396225</c:v>
                </c:pt>
                <c:pt idx="474">
                  <c:v>-2.43469131241091</c:v>
                </c:pt>
                <c:pt idx="475">
                  <c:v>-2.4633421246621916</c:v>
                </c:pt>
                <c:pt idx="476">
                  <c:v>-2.4919663821156073</c:v>
                </c:pt>
                <c:pt idx="477">
                  <c:v>-2.5212301687245193</c:v>
                </c:pt>
                <c:pt idx="478">
                  <c:v>-2.5504649393072567</c:v>
                </c:pt>
                <c:pt idx="479">
                  <c:v>-2.5796701015342509</c:v>
                </c:pt>
                <c:pt idx="480">
                  <c:v>-2.6088450754979831</c:v>
                </c:pt>
                <c:pt idx="481">
                  <c:v>-2.6386531864167018</c:v>
                </c:pt>
                <c:pt idx="482">
                  <c:v>-2.6684285294787635</c:v>
                </c:pt>
                <c:pt idx="483">
                  <c:v>-2.6981705238095319</c:v>
                </c:pt>
                <c:pt idx="484">
                  <c:v>-2.7278786016196532</c:v>
                </c:pt>
                <c:pt idx="485">
                  <c:v>-2.7582337129131234</c:v>
                </c:pt>
                <c:pt idx="486">
                  <c:v>-2.7885521702366871</c:v>
                </c:pt>
                <c:pt idx="487">
                  <c:v>-2.8188334073360259</c:v>
                </c:pt>
                <c:pt idx="488">
                  <c:v>-2.8490768716533186</c:v>
                </c:pt>
                <c:pt idx="489">
                  <c:v>-2.8800012123925423</c:v>
                </c:pt>
                <c:pt idx="490">
                  <c:v>-2.9108848300379826</c:v>
                </c:pt>
                <c:pt idx="491">
                  <c:v>-2.9417271750977214</c:v>
                </c:pt>
                <c:pt idx="492">
                  <c:v>-2.9725277123696099</c:v>
                </c:pt>
                <c:pt idx="493">
                  <c:v>-3.004001195433645</c:v>
                </c:pt>
                <c:pt idx="494">
                  <c:v>-3.0354298133541286</c:v>
                </c:pt>
                <c:pt idx="495">
                  <c:v>-3.0668130378559533</c:v>
                </c:pt>
                <c:pt idx="496">
                  <c:v>-3.0981503554495262</c:v>
                </c:pt>
                <c:pt idx="497">
                  <c:v>-3.1301726589632346</c:v>
                </c:pt>
                <c:pt idx="498">
                  <c:v>-3.1621458410471703</c:v>
                </c:pt>
                <c:pt idx="499">
                  <c:v>-3.19406939794596</c:v>
                </c:pt>
                <c:pt idx="500">
                  <c:v>-3.2259428411216682</c:v>
                </c:pt>
                <c:pt idx="501">
                  <c:v>-3.2585126696432609</c:v>
                </c:pt>
                <c:pt idx="502">
                  <c:v>-3.2910290144287457</c:v>
                </c:pt>
                <c:pt idx="503">
                  <c:v>-3.3234913995577378</c:v>
                </c:pt>
                <c:pt idx="504">
                  <c:v>-3.3558993646914987</c:v>
                </c:pt>
                <c:pt idx="505">
                  <c:v>-3.3889944132238723</c:v>
                </c:pt>
                <c:pt idx="506">
                  <c:v>-3.4220315891368442</c:v>
                </c:pt>
                <c:pt idx="507">
                  <c:v>-3.4550104484478137</c:v>
                </c:pt>
                <c:pt idx="508">
                  <c:v>-3.4879305630106066</c:v>
                </c:pt>
                <c:pt idx="509">
                  <c:v>-3.5215480764423939</c:v>
                </c:pt>
                <c:pt idx="510">
                  <c:v>-3.5551032493734747</c:v>
                </c:pt>
                <c:pt idx="511">
                  <c:v>-3.5885956728437822</c:v>
                </c:pt>
                <c:pt idx="512">
                  <c:v>-3.6220249539111959</c:v>
                </c:pt>
                <c:pt idx="513">
                  <c:v>-3.6561810679570068</c:v>
                </c:pt>
                <c:pt idx="514">
                  <c:v>-3.6902702264557528</c:v>
                </c:pt>
                <c:pt idx="515">
                  <c:v>-3.7242920578723604</c:v>
                </c:pt>
                <c:pt idx="516">
                  <c:v>-3.7582462068325162</c:v>
                </c:pt>
                <c:pt idx="517">
                  <c:v>-3.7929163804441828</c:v>
                </c:pt>
                <c:pt idx="518">
                  <c:v>-3.827514997657357</c:v>
                </c:pt>
                <c:pt idx="519">
                  <c:v>-3.8620417280775121</c:v>
                </c:pt>
                <c:pt idx="520">
                  <c:v>-3.8964962574972666</c:v>
                </c:pt>
                <c:pt idx="521">
                  <c:v>-3.931675196666407</c:v>
                </c:pt>
                <c:pt idx="522">
                  <c:v>-3.9667779301322783</c:v>
                </c:pt>
                <c:pt idx="523">
                  <c:v>-4.0018041715153752</c:v>
                </c:pt>
                <c:pt idx="524">
                  <c:v>-4.0367536505699606</c:v>
                </c:pt>
                <c:pt idx="525">
                  <c:v>-4.0724352858963169</c:v>
                </c:pt>
                <c:pt idx="526">
                  <c:v>-4.1080360286656328</c:v>
                </c:pt>
                <c:pt idx="527">
                  <c:v>-4.143555639280101</c:v>
                </c:pt>
                <c:pt idx="528">
                  <c:v>-4.1789938941413602</c:v>
                </c:pt>
                <c:pt idx="529">
                  <c:v>-4.2151714179034272</c:v>
                </c:pt>
                <c:pt idx="530">
                  <c:v>-4.2512633359010232</c:v>
                </c:pt>
                <c:pt idx="531">
                  <c:v>-4.287269457958959</c:v>
                </c:pt>
                <c:pt idx="532">
                  <c:v>-4.323189609685544</c:v>
                </c:pt>
                <c:pt idx="533">
                  <c:v>-4.359874421660848</c:v>
                </c:pt>
                <c:pt idx="534">
                  <c:v>-4.3964688063466122</c:v>
                </c:pt>
                <c:pt idx="535">
                  <c:v>-4.4329726252861752</c:v>
                </c:pt>
                <c:pt idx="536">
                  <c:v>-4.4693857555401371</c:v>
                </c:pt>
                <c:pt idx="537">
                  <c:v>-4.5065316900444961</c:v>
                </c:pt>
                <c:pt idx="538">
                  <c:v>-4.5435825588776471</c:v>
                </c:pt>
                <c:pt idx="539">
                  <c:v>-4.580538278075605</c:v>
                </c:pt>
                <c:pt idx="540">
                  <c:v>-4.6173987787800002</c:v>
                </c:pt>
                <c:pt idx="541">
                  <c:v>-4.6550346793507105</c:v>
                </c:pt>
                <c:pt idx="542">
                  <c:v>-4.692570692518351</c:v>
                </c:pt>
                <c:pt idx="543">
                  <c:v>-4.7300067907122276</c:v>
                </c:pt>
                <c:pt idx="544">
                  <c:v>-4.767342961036241</c:v>
                </c:pt>
                <c:pt idx="545">
                  <c:v>-4.8054405655713177</c:v>
                </c:pt>
                <c:pt idx="546">
                  <c:v>-4.8434335769104457</c:v>
                </c:pt>
                <c:pt idx="547">
                  <c:v>-4.8813220259963463</c:v>
                </c:pt>
                <c:pt idx="548">
                  <c:v>-4.9191059579054111</c:v>
                </c:pt>
                <c:pt idx="549">
                  <c:v>-4.9576553980996669</c:v>
                </c:pt>
                <c:pt idx="550">
                  <c:v>-4.9960955708631865</c:v>
                </c:pt>
                <c:pt idx="551">
                  <c:v>-5.0344265674262099</c:v>
                </c:pt>
                <c:pt idx="552">
                  <c:v>-5.0726484925351425</c:v>
                </c:pt>
                <c:pt idx="553">
                  <c:v>-5.1116573504315337</c:v>
                </c:pt>
                <c:pt idx="554">
                  <c:v>-5.150552204674165</c:v>
                </c:pt>
                <c:pt idx="555">
                  <c:v>-5.1893332085662971</c:v>
                </c:pt>
                <c:pt idx="556">
                  <c:v>-5.228000528259126</c:v>
                </c:pt>
                <c:pt idx="557">
                  <c:v>-5.3067956175056974</c:v>
                </c:pt>
                <c:pt idx="558">
                  <c:v>-5.3851168295336125</c:v>
                </c:pt>
                <c:pt idx="559">
                  <c:v>-5.46474493347662</c:v>
                </c:pt>
                <c:pt idx="560">
                  <c:v>-5.5438813563688214</c:v>
                </c:pt>
                <c:pt idx="561">
                  <c:v>-5.6243885291716991</c:v>
                </c:pt>
                <c:pt idx="562">
                  <c:v>-5.7043856495358378</c:v>
                </c:pt>
                <c:pt idx="563">
                  <c:v>-5.7855758789697393</c:v>
                </c:pt>
                <c:pt idx="564">
                  <c:v>-5.866240219880928</c:v>
                </c:pt>
                <c:pt idx="565">
                  <c:v>-5.9483957434665315</c:v>
                </c:pt>
                <c:pt idx="566">
                  <c:v>-6.0300059354054429</c:v>
                </c:pt>
                <c:pt idx="567">
                  <c:v>-6.1130614639869929</c:v>
                </c:pt>
                <c:pt idx="568">
                  <c:v>-6.1955530572989197</c:v>
                </c:pt>
                <c:pt idx="569">
                  <c:v>-6.2791181935934235</c:v>
                </c:pt>
                <c:pt idx="570">
                  <c:v>-6.3621062026494055</c:v>
                </c:pt>
                <c:pt idx="571">
                  <c:v>-6.446776460864446</c:v>
                </c:pt>
                <c:pt idx="572">
                  <c:v>-6.5308482689143048</c:v>
                </c:pt>
                <c:pt idx="573">
                  <c:v>-6.6159146119257537</c:v>
                </c:pt>
                <c:pt idx="574">
                  <c:v>-6.7003712704074614</c:v>
                </c:pt>
                <c:pt idx="575">
                  <c:v>-6.7864146442734192</c:v>
                </c:pt>
                <c:pt idx="576">
                  <c:v>-6.8718289555899972</c:v>
                </c:pt>
                <c:pt idx="577">
                  <c:v>-7.2266219004761201</c:v>
                </c:pt>
                <c:pt idx="578">
                  <c:v>-7.5707694354595692</c:v>
                </c:pt>
                <c:pt idx="579">
                  <c:v>-8.2901711876970356</c:v>
                </c:pt>
                <c:pt idx="580">
                  <c:v>-9.0297975523738856</c:v>
                </c:pt>
                <c:pt idx="581">
                  <c:v>-9.7875085158434079</c:v>
                </c:pt>
                <c:pt idx="582">
                  <c:v>-10.563076442155346</c:v>
                </c:pt>
                <c:pt idx="583">
                  <c:v>-11.355636575745917</c:v>
                </c:pt>
                <c:pt idx="584">
                  <c:v>-12.165964320606697</c:v>
                </c:pt>
                <c:pt idx="585">
                  <c:v>-12.994299202307268</c:v>
                </c:pt>
                <c:pt idx="586">
                  <c:v>-13.842040901384111</c:v>
                </c:pt>
                <c:pt idx="587">
                  <c:v>-14.711607484283206</c:v>
                </c:pt>
                <c:pt idx="588">
                  <c:v>-15.604887290033879</c:v>
                </c:pt>
                <c:pt idx="589">
                  <c:v>-16.526206231232521</c:v>
                </c:pt>
                <c:pt idx="590">
                  <c:v>-17.479887574415859</c:v>
                </c:pt>
                <c:pt idx="591">
                  <c:v>-18.471903439142054</c:v>
                </c:pt>
                <c:pt idx="592">
                  <c:v>-19.509433279147729</c:v>
                </c:pt>
                <c:pt idx="593">
                  <c:v>-20.601738171688062</c:v>
                </c:pt>
                <c:pt idx="594">
                  <c:v>-21.759265796436054</c:v>
                </c:pt>
                <c:pt idx="595">
                  <c:v>-22.994794334387741</c:v>
                </c:pt>
                <c:pt idx="596">
                  <c:v>-24.322227516245427</c:v>
                </c:pt>
                <c:pt idx="597">
                  <c:v>-25.75706148177705</c:v>
                </c:pt>
                <c:pt idx="598">
                  <c:v>-27.314180055157138</c:v>
                </c:pt>
                <c:pt idx="599">
                  <c:v>-29.007776138596405</c:v>
                </c:pt>
                <c:pt idx="600">
                  <c:v>-30.848209205962753</c:v>
                </c:pt>
              </c:numCache>
            </c:numRef>
          </c:yVal>
          <c:smooth val="0"/>
          <c:extLst>
            <c:ext xmlns:c16="http://schemas.microsoft.com/office/drawing/2014/chart" uri="{C3380CC4-5D6E-409C-BE32-E72D297353CC}">
              <c16:uniqueId val="{00000000-C921-4838-A0BE-4B6A27AAB705}"/>
            </c:ext>
          </c:extLst>
        </c:ser>
        <c:dLbls>
          <c:showLegendKey val="0"/>
          <c:showVal val="0"/>
          <c:showCatName val="0"/>
          <c:showSerName val="0"/>
          <c:showPercent val="0"/>
          <c:showBubbleSize val="0"/>
        </c:dLbls>
        <c:axId val="182162176"/>
        <c:axId val="182164096"/>
      </c:scatterChart>
      <c:scatterChart>
        <c:scatterStyle val="lineMarker"/>
        <c:varyColors val="0"/>
        <c:ser>
          <c:idx val="1"/>
          <c:order val="1"/>
          <c:tx>
            <c:strRef>
              <c:f>'Stability Calculations'!$S$12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-84.729513674844128</c:v>
                </c:pt>
                <c:pt idx="1">
                  <c:v>-85.189560774910731</c:v>
                </c:pt>
                <c:pt idx="2">
                  <c:v>-85.609473936222003</c:v>
                </c:pt>
                <c:pt idx="3">
                  <c:v>-85.992662938126614</c:v>
                </c:pt>
                <c:pt idx="4">
                  <c:v>-86.342041971861107</c:v>
                </c:pt>
                <c:pt idx="5">
                  <c:v>-86.661048529654238</c:v>
                </c:pt>
                <c:pt idx="6">
                  <c:v>-86.951835535536162</c:v>
                </c:pt>
                <c:pt idx="7">
                  <c:v>-87.217013613577919</c:v>
                </c:pt>
                <c:pt idx="8">
                  <c:v>-87.458603052579562</c:v>
                </c:pt>
                <c:pt idx="9">
                  <c:v>-87.67880943520322</c:v>
                </c:pt>
                <c:pt idx="10">
                  <c:v>-87.879346895559053</c:v>
                </c:pt>
                <c:pt idx="11">
                  <c:v>-88.061936204981151</c:v>
                </c:pt>
                <c:pt idx="12">
                  <c:v>-88.228200247388585</c:v>
                </c:pt>
                <c:pt idx="13">
                  <c:v>-88.379380120535899</c:v>
                </c:pt>
                <c:pt idx="14">
                  <c:v>-88.516876318671478</c:v>
                </c:pt>
                <c:pt idx="15">
                  <c:v>-88.64179208321913</c:v>
                </c:pt>
                <c:pt idx="16">
                  <c:v>-88.755194491020688</c:v>
                </c:pt>
                <c:pt idx="17">
                  <c:v>-88.858028448005555</c:v>
                </c:pt>
                <c:pt idx="18">
                  <c:v>-88.951193721047431</c:v>
                </c:pt>
                <c:pt idx="19">
                  <c:v>-89.035453232687431</c:v>
                </c:pt>
                <c:pt idx="20">
                  <c:v>-89.111537786558273</c:v>
                </c:pt>
                <c:pt idx="21">
                  <c:v>-89.18007668941938</c:v>
                </c:pt>
                <c:pt idx="22">
                  <c:v>-89.241665625147405</c:v>
                </c:pt>
                <c:pt idx="23">
                  <c:v>-89.296811753271228</c:v>
                </c:pt>
                <c:pt idx="24">
                  <c:v>-89.345996976148271</c:v>
                </c:pt>
                <c:pt idx="25">
                  <c:v>-89.389630057604975</c:v>
                </c:pt>
                <c:pt idx="26">
                  <c:v>-89.428090015308698</c:v>
                </c:pt>
                <c:pt idx="27">
                  <c:v>-89.461690232595629</c:v>
                </c:pt>
                <c:pt idx="28">
                  <c:v>-89.490718470466362</c:v>
                </c:pt>
                <c:pt idx="29">
                  <c:v>-89.515407943743583</c:v>
                </c:pt>
                <c:pt idx="30">
                  <c:v>-89.536008049891606</c:v>
                </c:pt>
                <c:pt idx="31">
                  <c:v>-89.552661015703237</c:v>
                </c:pt>
                <c:pt idx="32">
                  <c:v>-89.565520211329982</c:v>
                </c:pt>
                <c:pt idx="33">
                  <c:v>-89.574686408022842</c:v>
                </c:pt>
                <c:pt idx="34">
                  <c:v>-89.580245009956542</c:v>
                </c:pt>
                <c:pt idx="35">
                  <c:v>-89.582239451651773</c:v>
                </c:pt>
                <c:pt idx="36">
                  <c:v>-89.580688594823002</c:v>
                </c:pt>
                <c:pt idx="37">
                  <c:v>-89.575576419143786</c:v>
                </c:pt>
                <c:pt idx="38">
                  <c:v>-89.566864665878853</c:v>
                </c:pt>
                <c:pt idx="39">
                  <c:v>-89.554473447552439</c:v>
                </c:pt>
                <c:pt idx="40">
                  <c:v>-89.538301098528365</c:v>
                </c:pt>
                <c:pt idx="41">
                  <c:v>-89.518209444887191</c:v>
                </c:pt>
                <c:pt idx="42">
                  <c:v>-89.494031617753208</c:v>
                </c:pt>
                <c:pt idx="43">
                  <c:v>-89.4655552490769</c:v>
                </c:pt>
                <c:pt idx="44">
                  <c:v>-89.432546074176543</c:v>
                </c:pt>
                <c:pt idx="45">
                  <c:v>-89.394717522044033</c:v>
                </c:pt>
                <c:pt idx="46">
                  <c:v>-89.351756550413469</c:v>
                </c:pt>
                <c:pt idx="47">
                  <c:v>-89.303289555407332</c:v>
                </c:pt>
                <c:pt idx="48">
                  <c:v>-89.24891784861849</c:v>
                </c:pt>
                <c:pt idx="49">
                  <c:v>-89.188166758147787</c:v>
                </c:pt>
                <c:pt idx="50">
                  <c:v>-89.120530016082455</c:v>
                </c:pt>
                <c:pt idx="51">
                  <c:v>-89.0454169127851</c:v>
                </c:pt>
                <c:pt idx="52">
                  <c:v>-88.962214292390755</c:v>
                </c:pt>
                <c:pt idx="53">
                  <c:v>-88.870217072687922</c:v>
                </c:pt>
                <c:pt idx="54">
                  <c:v>-88.768715551269125</c:v>
                </c:pt>
                <c:pt idx="55">
                  <c:v>-88.656675562389282</c:v>
                </c:pt>
                <c:pt idx="56">
                  <c:v>-88.533299101822564</c:v>
                </c:pt>
                <c:pt idx="57">
                  <c:v>-88.397464070112406</c:v>
                </c:pt>
                <c:pt idx="58">
                  <c:v>-88.248127442297772</c:v>
                </c:pt>
                <c:pt idx="59">
                  <c:v>-88.083921022296195</c:v>
                </c:pt>
                <c:pt idx="60">
                  <c:v>-87.903558625463489</c:v>
                </c:pt>
                <c:pt idx="61">
                  <c:v>-87.70551229374864</c:v>
                </c:pt>
                <c:pt idx="62">
                  <c:v>-87.488013358512092</c:v>
                </c:pt>
                <c:pt idx="63">
                  <c:v>-87.249464330402418</c:v>
                </c:pt>
                <c:pt idx="64">
                  <c:v>-86.987705627994828</c:v>
                </c:pt>
                <c:pt idx="65">
                  <c:v>-86.700674780923705</c:v>
                </c:pt>
                <c:pt idx="66">
                  <c:v>-86.386002683643923</c:v>
                </c:pt>
                <c:pt idx="67">
                  <c:v>-86.041184814286893</c:v>
                </c:pt>
                <c:pt idx="68">
                  <c:v>-85.663345341575109</c:v>
                </c:pt>
                <c:pt idx="69">
                  <c:v>-85.249577328135274</c:v>
                </c:pt>
                <c:pt idx="70">
                  <c:v>-84.796550324076932</c:v>
                </c:pt>
                <c:pt idx="71">
                  <c:v>-84.300858908502391</c:v>
                </c:pt>
                <c:pt idx="72">
                  <c:v>-83.758643173061287</c:v>
                </c:pt>
                <c:pt idx="73">
                  <c:v>-83.166032163621949</c:v>
                </c:pt>
                <c:pt idx="74">
                  <c:v>-82.518623116931693</c:v>
                </c:pt>
                <c:pt idx="75">
                  <c:v>-81.812028684880644</c:v>
                </c:pt>
                <c:pt idx="76">
                  <c:v>-81.041391380746788</c:v>
                </c:pt>
                <c:pt idx="77">
                  <c:v>-80.202123710150573</c:v>
                </c:pt>
                <c:pt idx="78">
                  <c:v>-79.289312731531311</c:v>
                </c:pt>
                <c:pt idx="79">
                  <c:v>-78.298739118614179</c:v>
                </c:pt>
                <c:pt idx="80">
                  <c:v>-77.223968227815433</c:v>
                </c:pt>
                <c:pt idx="81">
                  <c:v>-76.062027535956616</c:v>
                </c:pt>
                <c:pt idx="82">
                  <c:v>-74.808281501303853</c:v>
                </c:pt>
                <c:pt idx="83">
                  <c:v>-73.460586534736279</c:v>
                </c:pt>
                <c:pt idx="84">
                  <c:v>-72.01597441103371</c:v>
                </c:pt>
                <c:pt idx="85">
                  <c:v>-70.474776806848084</c:v>
                </c:pt>
                <c:pt idx="86">
                  <c:v>-68.838208985194868</c:v>
                </c:pt>
                <c:pt idx="87">
                  <c:v>-67.109030751453474</c:v>
                </c:pt>
                <c:pt idx="88">
                  <c:v>-65.29527596021012</c:v>
                </c:pt>
                <c:pt idx="89">
                  <c:v>-63.404931035324672</c:v>
                </c:pt>
                <c:pt idx="90">
                  <c:v>-61.451398043245433</c:v>
                </c:pt>
                <c:pt idx="91">
                  <c:v>-59.450622458258486</c:v>
                </c:pt>
                <c:pt idx="92">
                  <c:v>-57.422293466916031</c:v>
                </c:pt>
                <c:pt idx="93">
                  <c:v>-55.388212751197933</c:v>
                </c:pt>
                <c:pt idx="94">
                  <c:v>-54.881920467082722</c:v>
                </c:pt>
                <c:pt idx="95">
                  <c:v>-54.627790995322698</c:v>
                </c:pt>
                <c:pt idx="96">
                  <c:v>-54.377023191684195</c:v>
                </c:pt>
                <c:pt idx="97">
                  <c:v>-54.123889381166705</c:v>
                </c:pt>
                <c:pt idx="98">
                  <c:v>-53.874209055961323</c:v>
                </c:pt>
                <c:pt idx="99">
                  <c:v>-53.622217600698818</c:v>
                </c:pt>
                <c:pt idx="100">
                  <c:v>-53.373771945835472</c:v>
                </c:pt>
                <c:pt idx="101">
                  <c:v>-53.123267280189381</c:v>
                </c:pt>
                <c:pt idx="102">
                  <c:v>-52.87639549599055</c:v>
                </c:pt>
                <c:pt idx="103">
                  <c:v>-52.627351379492048</c:v>
                </c:pt>
                <c:pt idx="104">
                  <c:v>-52.382032485039723</c:v>
                </c:pt>
                <c:pt idx="105">
                  <c:v>-52.1348044138646</c:v>
                </c:pt>
                <c:pt idx="106">
                  <c:v>-51.891387963288025</c:v>
                </c:pt>
                <c:pt idx="107">
                  <c:v>-51.646319380249864</c:v>
                </c:pt>
                <c:pt idx="108">
                  <c:v>-51.405142590295874</c:v>
                </c:pt>
                <c:pt idx="109">
                  <c:v>-51.162400176060622</c:v>
                </c:pt>
                <c:pt idx="110">
                  <c:v>-50.923628632057678</c:v>
                </c:pt>
                <c:pt idx="111">
                  <c:v>-50.683228580923831</c:v>
                </c:pt>
                <c:pt idx="112">
                  <c:v>-50.446882398489819</c:v>
                </c:pt>
                <c:pt idx="113">
                  <c:v>-50.209175775570408</c:v>
                </c:pt>
                <c:pt idx="114">
                  <c:v>-49.975598797951953</c:v>
                </c:pt>
                <c:pt idx="115">
                  <c:v>-49.740773524462945</c:v>
                </c:pt>
                <c:pt idx="116">
                  <c:v>-49.510151558575316</c:v>
                </c:pt>
                <c:pt idx="117">
                  <c:v>-49.278400815026764</c:v>
                </c:pt>
                <c:pt idx="118">
                  <c:v>-49.050924595808588</c:v>
                </c:pt>
                <c:pt idx="119">
                  <c:v>-48.822583034121564</c:v>
                </c:pt>
                <c:pt idx="120">
                  <c:v>-48.598579221974184</c:v>
                </c:pt>
                <c:pt idx="121">
                  <c:v>-48.373831983317366</c:v>
                </c:pt>
                <c:pt idx="122">
                  <c:v>-48.153482812168569</c:v>
                </c:pt>
                <c:pt idx="123">
                  <c:v>-47.932391045556258</c:v>
                </c:pt>
                <c:pt idx="124">
                  <c:v>-47.715759595369427</c:v>
                </c:pt>
                <c:pt idx="125">
                  <c:v>-47.498650029541864</c:v>
                </c:pt>
                <c:pt idx="126">
                  <c:v>-47.286054303697611</c:v>
                </c:pt>
                <c:pt idx="127">
                  <c:v>-47.073117452060082</c:v>
                </c:pt>
                <c:pt idx="128">
                  <c:v>-46.864744242928559</c:v>
                </c:pt>
                <c:pt idx="129">
                  <c:v>-46.656170721629692</c:v>
                </c:pt>
                <c:pt idx="130">
                  <c:v>-46.452206688188788</c:v>
                </c:pt>
                <c:pt idx="131">
                  <c:v>-46.248186386939608</c:v>
                </c:pt>
                <c:pt idx="132">
                  <c:v>-46.147925854652463</c:v>
                </c:pt>
                <c:pt idx="133">
                  <c:v>-46.048817244661457</c:v>
                </c:pt>
                <c:pt idx="134">
                  <c:v>-45.94853474028433</c:v>
                </c:pt>
                <c:pt idx="135">
                  <c:v>-45.849436864863371</c:v>
                </c:pt>
                <c:pt idx="136">
                  <c:v>-45.751512278230486</c:v>
                </c:pt>
                <c:pt idx="137">
                  <c:v>-45.654749740122519</c:v>
                </c:pt>
                <c:pt idx="138">
                  <c:v>-45.556980636006799</c:v>
                </c:pt>
                <c:pt idx="139">
                  <c:v>-45.460403484800885</c:v>
                </c:pt>
                <c:pt idx="140">
                  <c:v>-45.365006586499966</c:v>
                </c:pt>
                <c:pt idx="141">
                  <c:v>-45.270778349664383</c:v>
                </c:pt>
                <c:pt idx="142">
                  <c:v>-45.175514210293329</c:v>
                </c:pt>
                <c:pt idx="143">
                  <c:v>-45.081450579307678</c:v>
                </c:pt>
                <c:pt idx="144">
                  <c:v>-44.988575372485599</c:v>
                </c:pt>
                <c:pt idx="145">
                  <c:v>-44.896876623348732</c:v>
                </c:pt>
                <c:pt idx="146">
                  <c:v>-44.804259045997505</c:v>
                </c:pt>
                <c:pt idx="147">
                  <c:v>-44.71284809142967</c:v>
                </c:pt>
                <c:pt idx="148">
                  <c:v>-44.622631321679464</c:v>
                </c:pt>
                <c:pt idx="149">
                  <c:v>-44.533596425519661</c:v>
                </c:pt>
                <c:pt idx="150">
                  <c:v>-44.443713390927705</c:v>
                </c:pt>
                <c:pt idx="151">
                  <c:v>-44.355041845994421</c:v>
                </c:pt>
                <c:pt idx="152">
                  <c:v>-44.267569013046909</c:v>
                </c:pt>
                <c:pt idx="153">
                  <c:v>-44.181282250138082</c:v>
                </c:pt>
                <c:pt idx="154">
                  <c:v>-44.094179481254912</c:v>
                </c:pt>
                <c:pt idx="155">
                  <c:v>-44.008292912708249</c:v>
                </c:pt>
                <c:pt idx="156">
                  <c:v>-43.923609424490728</c:v>
                </c:pt>
                <c:pt idx="157">
                  <c:v>-43.840116041521242</c:v>
                </c:pt>
                <c:pt idx="158">
                  <c:v>-43.75588290368011</c:v>
                </c:pt>
                <c:pt idx="159">
                  <c:v>-43.672869322988383</c:v>
                </c:pt>
                <c:pt idx="160">
                  <c:v>-43.591061853959744</c:v>
                </c:pt>
                <c:pt idx="161">
                  <c:v>-43.510447205154939</c:v>
                </c:pt>
                <c:pt idx="162">
                  <c:v>-43.429205208203186</c:v>
                </c:pt>
                <c:pt idx="163">
                  <c:v>-43.349183693826248</c:v>
                </c:pt>
                <c:pt idx="164">
                  <c:v>-43.270368927166196</c:v>
                </c:pt>
                <c:pt idx="165">
                  <c:v>-43.192747336120974</c:v>
                </c:pt>
                <c:pt idx="166">
                  <c:v>-43.114506082297581</c:v>
                </c:pt>
                <c:pt idx="167">
                  <c:v>-43.037487024856375</c:v>
                </c:pt>
                <c:pt idx="168">
                  <c:v>-42.961676122486871</c:v>
                </c:pt>
                <c:pt idx="169">
                  <c:v>-42.88705950574208</c:v>
                </c:pt>
                <c:pt idx="170">
                  <c:v>-42.812060433620346</c:v>
                </c:pt>
                <c:pt idx="171">
                  <c:v>-42.738278741940803</c:v>
                </c:pt>
                <c:pt idx="172">
                  <c:v>-42.665700192894541</c:v>
                </c:pt>
                <c:pt idx="173">
                  <c:v>-42.594310727935557</c:v>
                </c:pt>
                <c:pt idx="174">
                  <c:v>-42.522341425332499</c:v>
                </c:pt>
                <c:pt idx="175">
                  <c:v>-42.451592560568528</c:v>
                </c:pt>
                <c:pt idx="176">
                  <c:v>-42.382049558443555</c:v>
                </c:pt>
                <c:pt idx="177">
                  <c:v>-42.313698032883316</c:v>
                </c:pt>
                <c:pt idx="178">
                  <c:v>-42.244886670045936</c:v>
                </c:pt>
                <c:pt idx="179">
                  <c:v>-42.177296124487142</c:v>
                </c:pt>
                <c:pt idx="180">
                  <c:v>-42.110911525500207</c:v>
                </c:pt>
                <c:pt idx="181">
                  <c:v>-42.045718200802035</c:v>
                </c:pt>
                <c:pt idx="182">
                  <c:v>-41.980433248409007</c:v>
                </c:pt>
                <c:pt idx="183">
                  <c:v>-41.916357482092749</c:v>
                </c:pt>
                <c:pt idx="184">
                  <c:v>-41.853475953313847</c:v>
                </c:pt>
                <c:pt idx="185">
                  <c:v>-41.791773917422475</c:v>
                </c:pt>
                <c:pt idx="186">
                  <c:v>-41.729591319831684</c:v>
                </c:pt>
                <c:pt idx="187">
                  <c:v>-41.668622952344371</c:v>
                </c:pt>
                <c:pt idx="188">
                  <c:v>-41.608853476947523</c:v>
                </c:pt>
                <c:pt idx="189">
                  <c:v>-41.550267770725327</c:v>
                </c:pt>
                <c:pt idx="190">
                  <c:v>-41.491766451002093</c:v>
                </c:pt>
                <c:pt idx="191">
                  <c:v>-41.434463471410474</c:v>
                </c:pt>
                <c:pt idx="192">
                  <c:v>-41.378343496700964</c:v>
                </c:pt>
                <c:pt idx="193">
                  <c:v>-41.323391410670915</c:v>
                </c:pt>
                <c:pt idx="194">
                  <c:v>-41.268197226151891</c:v>
                </c:pt>
                <c:pt idx="195">
                  <c:v>-41.214201409331721</c:v>
                </c:pt>
                <c:pt idx="196">
                  <c:v>-41.161388322107754</c:v>
                </c:pt>
                <c:pt idx="197">
                  <c:v>-41.109742555197577</c:v>
                </c:pt>
                <c:pt idx="198">
                  <c:v>-41.058156002356327</c:v>
                </c:pt>
                <c:pt idx="199">
                  <c:v>-41.007756633665799</c:v>
                </c:pt>
                <c:pt idx="200">
                  <c:v>-40.958528723259562</c:v>
                </c:pt>
                <c:pt idx="201">
                  <c:v>-40.910456779738098</c:v>
                </c:pt>
                <c:pt idx="202">
                  <c:v>-40.862532245593442</c:v>
                </c:pt>
                <c:pt idx="203">
                  <c:v>-40.815781811535643</c:v>
                </c:pt>
                <c:pt idx="204">
                  <c:v>-40.770189702570072</c:v>
                </c:pt>
                <c:pt idx="205">
                  <c:v>-40.72574038300025</c:v>
                </c:pt>
                <c:pt idx="206">
                  <c:v>-40.681372235712658</c:v>
                </c:pt>
                <c:pt idx="207">
                  <c:v>-40.638171246280621</c:v>
                </c:pt>
                <c:pt idx="208">
                  <c:v>-40.596121466081534</c:v>
                </c:pt>
                <c:pt idx="209">
                  <c:v>-40.555207193126947</c:v>
                </c:pt>
                <c:pt idx="210">
                  <c:v>-40.51434199962948</c:v>
                </c:pt>
                <c:pt idx="211">
                  <c:v>-40.474642354327187</c:v>
                </c:pt>
                <c:pt idx="212">
                  <c:v>-40.436092019455351</c:v>
                </c:pt>
                <c:pt idx="213">
                  <c:v>-40.398675013695645</c:v>
                </c:pt>
                <c:pt idx="214">
                  <c:v>-40.361663286065273</c:v>
                </c:pt>
                <c:pt idx="215">
                  <c:v>-40.325797735144732</c:v>
                </c:pt>
                <c:pt idx="216">
                  <c:v>-40.291062200667319</c:v>
                </c:pt>
                <c:pt idx="217">
                  <c:v>-40.257440780936392</c:v>
                </c:pt>
                <c:pt idx="218">
                  <c:v>-40.224188949790104</c:v>
                </c:pt>
                <c:pt idx="219">
                  <c:v>-40.192069777993979</c:v>
                </c:pt>
                <c:pt idx="220">
                  <c:v>-40.161067060877457</c:v>
                </c:pt>
                <c:pt idx="221">
                  <c:v>-40.131164856972646</c:v>
                </c:pt>
                <c:pt idx="222">
                  <c:v>-40.101717300340397</c:v>
                </c:pt>
                <c:pt idx="223">
                  <c:v>-40.073387000808566</c:v>
                </c:pt>
                <c:pt idx="224">
                  <c:v>-40.046157748932259</c:v>
                </c:pt>
                <c:pt idx="225">
                  <c:v>-40.020013602195156</c:v>
                </c:pt>
                <c:pt idx="226">
                  <c:v>-39.994327489648185</c:v>
                </c:pt>
                <c:pt idx="227">
                  <c:v>-39.969748169540246</c:v>
                </c:pt>
                <c:pt idx="228">
                  <c:v>-39.946259318017319</c:v>
                </c:pt>
                <c:pt idx="229">
                  <c:v>-39.923844884260873</c:v>
                </c:pt>
                <c:pt idx="230">
                  <c:v>-39.881214881235593</c:v>
                </c:pt>
                <c:pt idx="231">
                  <c:v>-39.861524589916606</c:v>
                </c:pt>
                <c:pt idx="232">
                  <c:v>-39.842895859394879</c:v>
                </c:pt>
                <c:pt idx="233">
                  <c:v>-39.824908025128963</c:v>
                </c:pt>
                <c:pt idx="234">
                  <c:v>-39.807999441109409</c:v>
                </c:pt>
                <c:pt idx="235">
                  <c:v>-39.792153688179361</c:v>
                </c:pt>
                <c:pt idx="236">
                  <c:v>-39.777354629448162</c:v>
                </c:pt>
                <c:pt idx="237">
                  <c:v>-39.763317610228953</c:v>
                </c:pt>
                <c:pt idx="238">
                  <c:v>-39.750337126893292</c:v>
                </c:pt>
                <c:pt idx="239">
                  <c:v>-39.738396913053997</c:v>
                </c:pt>
                <c:pt idx="240">
                  <c:v>-39.727480984545132</c:v>
                </c:pt>
                <c:pt idx="241">
                  <c:v>-39.717333407006855</c:v>
                </c:pt>
                <c:pt idx="242">
                  <c:v>-39.708229995252438</c:v>
                </c:pt>
                <c:pt idx="243">
                  <c:v>-39.700154395450674</c:v>
                </c:pt>
                <c:pt idx="244">
                  <c:v>-39.693090541437734</c:v>
                </c:pt>
                <c:pt idx="245">
                  <c:v>-39.68689934154218</c:v>
                </c:pt>
                <c:pt idx="246">
                  <c:v>-39.681732176412069</c:v>
                </c:pt>
                <c:pt idx="247">
                  <c:v>-39.677572781945365</c:v>
                </c:pt>
                <c:pt idx="248">
                  <c:v>-39.674405182984138</c:v>
                </c:pt>
                <c:pt idx="249">
                  <c:v>-39.672172299735514</c:v>
                </c:pt>
                <c:pt idx="250">
                  <c:v>-39.670947149243318</c:v>
                </c:pt>
                <c:pt idx="251">
                  <c:v>-39.670713462996595</c:v>
                </c:pt>
                <c:pt idx="252">
                  <c:v>-39.671455264881899</c:v>
                </c:pt>
                <c:pt idx="253">
                  <c:v>-39.673203136603448</c:v>
                </c:pt>
                <c:pt idx="254">
                  <c:v>-39.675935458134212</c:v>
                </c:pt>
                <c:pt idx="255">
                  <c:v>-39.679636121894532</c:v>
                </c:pt>
                <c:pt idx="256">
                  <c:v>-39.684289312148543</c:v>
                </c:pt>
                <c:pt idx="257">
                  <c:v>-39.690036636514506</c:v>
                </c:pt>
                <c:pt idx="258">
                  <c:v>-39.696753673510692</c:v>
                </c:pt>
                <c:pt idx="259">
                  <c:v>-39.704424263139728</c:v>
                </c:pt>
                <c:pt idx="260">
                  <c:v>-39.713032541799549</c:v>
                </c:pt>
                <c:pt idx="261">
                  <c:v>-39.722790132131131</c:v>
                </c:pt>
                <c:pt idx="262">
                  <c:v>-39.73349587679634</c:v>
                </c:pt>
                <c:pt idx="263">
                  <c:v>-39.745133726544218</c:v>
                </c:pt>
                <c:pt idx="264">
                  <c:v>-39.757687929079225</c:v>
                </c:pt>
                <c:pt idx="265">
                  <c:v>-39.77145214026396</c:v>
                </c:pt>
                <c:pt idx="266">
                  <c:v>-39.786141519108305</c:v>
                </c:pt>
                <c:pt idx="267">
                  <c:v>-39.801740160080264</c:v>
                </c:pt>
                <c:pt idx="268">
                  <c:v>-39.818232454292584</c:v>
                </c:pt>
                <c:pt idx="269">
                  <c:v>-39.836033401444645</c:v>
                </c:pt>
                <c:pt idx="270">
                  <c:v>-39.854739480830361</c:v>
                </c:pt>
                <c:pt idx="271">
                  <c:v>-39.874334850070625</c:v>
                </c:pt>
                <c:pt idx="272">
                  <c:v>-39.894803965079454</c:v>
                </c:pt>
                <c:pt idx="273">
                  <c:v>-39.916644823123981</c:v>
                </c:pt>
                <c:pt idx="274">
                  <c:v>-39.939369100217931</c:v>
                </c:pt>
                <c:pt idx="275">
                  <c:v>-39.962961054313944</c:v>
                </c:pt>
                <c:pt idx="276">
                  <c:v>-39.987405242357426</c:v>
                </c:pt>
                <c:pt idx="277">
                  <c:v>-40.013219532496031</c:v>
                </c:pt>
                <c:pt idx="278">
                  <c:v>-40.039890178394302</c:v>
                </c:pt>
                <c:pt idx="279">
                  <c:v>-40.067401676962255</c:v>
                </c:pt>
                <c:pt idx="280">
                  <c:v>-40.095738821254848</c:v>
                </c:pt>
                <c:pt idx="281">
                  <c:v>-40.1256873921362</c:v>
                </c:pt>
                <c:pt idx="282">
                  <c:v>-40.156475357177136</c:v>
                </c:pt>
                <c:pt idx="283">
                  <c:v>-40.188087171533553</c:v>
                </c:pt>
                <c:pt idx="284">
                  <c:v>-40.220507590789516</c:v>
                </c:pt>
                <c:pt idx="285">
                  <c:v>-40.254386550268094</c:v>
                </c:pt>
                <c:pt idx="286">
                  <c:v>-40.289075323934284</c:v>
                </c:pt>
                <c:pt idx="287">
                  <c:v>-40.324558666123075</c:v>
                </c:pt>
                <c:pt idx="288">
                  <c:v>-40.360821627128743</c:v>
                </c:pt>
                <c:pt idx="289">
                  <c:v>-40.39881718309249</c:v>
                </c:pt>
                <c:pt idx="290">
                  <c:v>-40.437602258163466</c:v>
                </c:pt>
                <c:pt idx="291">
                  <c:v>-40.477161638979695</c:v>
                </c:pt>
                <c:pt idx="292">
                  <c:v>-40.517480410548913</c:v>
                </c:pt>
                <c:pt idx="293">
                  <c:v>-40.559501586131937</c:v>
                </c:pt>
                <c:pt idx="294">
                  <c:v>-40.6022869970854</c:v>
                </c:pt>
                <c:pt idx="295">
                  <c:v>-40.645821595214464</c:v>
                </c:pt>
                <c:pt idx="296">
                  <c:v>-40.690090629672767</c:v>
                </c:pt>
                <c:pt idx="297">
                  <c:v>-40.736104022755818</c:v>
                </c:pt>
                <c:pt idx="298">
                  <c:v>-40.782855128671358</c:v>
                </c:pt>
                <c:pt idx="299">
                  <c:v>-40.830329094088434</c:v>
                </c:pt>
                <c:pt idx="300">
                  <c:v>-40.878511361225662</c:v>
                </c:pt>
                <c:pt idx="301">
                  <c:v>-40.928474985244769</c:v>
                </c:pt>
                <c:pt idx="302">
                  <c:v>-40.979148709901217</c:v>
                </c:pt>
                <c:pt idx="303">
                  <c:v>-41.030517903718049</c:v>
                </c:pt>
                <c:pt idx="304">
                  <c:v>-41.082568228257088</c:v>
                </c:pt>
                <c:pt idx="305">
                  <c:v>-41.13664066201742</c:v>
                </c:pt>
                <c:pt idx="306">
                  <c:v>-41.191399833562841</c:v>
                </c:pt>
                <c:pt idx="307">
                  <c:v>-41.246831192713238</c:v>
                </c:pt>
                <c:pt idx="308">
                  <c:v>-41.3029204836036</c:v>
                </c:pt>
                <c:pt idx="309">
                  <c:v>-41.360856094329357</c:v>
                </c:pt>
                <c:pt idx="310">
                  <c:v>-41.419448526663928</c:v>
                </c:pt>
                <c:pt idx="311">
                  <c:v>-41.478683509333166</c:v>
                </c:pt>
                <c:pt idx="312">
                  <c:v>-41.538547061390759</c:v>
                </c:pt>
                <c:pt idx="313">
                  <c:v>-41.600508136399498</c:v>
                </c:pt>
                <c:pt idx="314">
                  <c:v>-41.663100020354875</c:v>
                </c:pt>
                <c:pt idx="315">
                  <c:v>-41.726308586870772</c:v>
                </c:pt>
                <c:pt idx="316">
                  <c:v>-41.790119999569185</c:v>
                </c:pt>
                <c:pt idx="317">
                  <c:v>-41.856061127934673</c:v>
                </c:pt>
                <c:pt idx="318">
                  <c:v>-41.922605701110214</c:v>
                </c:pt>
                <c:pt idx="319">
                  <c:v>-41.989739770369042</c:v>
                </c:pt>
                <c:pt idx="320">
                  <c:v>-42.057449675862664</c:v>
                </c:pt>
                <c:pt idx="321">
                  <c:v>-42.127316355652617</c:v>
                </c:pt>
                <c:pt idx="322">
                  <c:v>-42.197757924779708</c:v>
                </c:pt>
                <c:pt idx="323">
                  <c:v>-42.268760642323421</c:v>
                </c:pt>
                <c:pt idx="324">
                  <c:v>-42.340311054365586</c:v>
                </c:pt>
                <c:pt idx="325">
                  <c:v>-42.414040391478096</c:v>
                </c:pt>
                <c:pt idx="326">
                  <c:v>-42.488315025643388</c:v>
                </c:pt>
                <c:pt idx="327">
                  <c:v>-42.563121451317947</c:v>
                </c:pt>
                <c:pt idx="328">
                  <c:v>-42.638446447403219</c:v>
                </c:pt>
                <c:pt idx="329">
                  <c:v>-42.716097909995177</c:v>
                </c:pt>
                <c:pt idx="330">
                  <c:v>-42.794265889858544</c:v>
                </c:pt>
                <c:pt idx="331">
                  <c:v>-42.872937076051016</c:v>
                </c:pt>
                <c:pt idx="332">
                  <c:v>-42.952098440763393</c:v>
                </c:pt>
                <c:pt idx="333">
                  <c:v>-43.033470819633656</c:v>
                </c:pt>
                <c:pt idx="334">
                  <c:v>-43.115328264789504</c:v>
                </c:pt>
                <c:pt idx="335">
                  <c:v>-43.197657753023449</c:v>
                </c:pt>
                <c:pt idx="336">
                  <c:v>-43.280446540423021</c:v>
                </c:pt>
                <c:pt idx="337">
                  <c:v>-43.365727750206354</c:v>
                </c:pt>
                <c:pt idx="338">
                  <c:v>-43.45146483865728</c:v>
                </c:pt>
                <c:pt idx="339">
                  <c:v>-43.537644969386278</c:v>
                </c:pt>
                <c:pt idx="340">
                  <c:v>-43.624255584462823</c:v>
                </c:pt>
                <c:pt idx="341">
                  <c:v>-43.713371448757101</c:v>
                </c:pt>
                <c:pt idx="342">
                  <c:v>-43.802912859336139</c:v>
                </c:pt>
                <c:pt idx="343">
                  <c:v>-43.892867198464586</c:v>
                </c:pt>
                <c:pt idx="344">
                  <c:v>-43.983222125281884</c:v>
                </c:pt>
                <c:pt idx="345">
                  <c:v>-44.07594863735185</c:v>
                </c:pt>
                <c:pt idx="346">
                  <c:v>-44.169068202808489</c:v>
                </c:pt>
                <c:pt idx="347">
                  <c:v>-44.262568507687</c:v>
                </c:pt>
                <c:pt idx="348">
                  <c:v>-44.356437510977031</c:v>
                </c:pt>
                <c:pt idx="349">
                  <c:v>-44.45296599248838</c:v>
                </c:pt>
                <c:pt idx="350">
                  <c:v>-44.549856646773812</c:v>
                </c:pt>
                <c:pt idx="351">
                  <c:v>-44.647097377371203</c:v>
                </c:pt>
                <c:pt idx="352">
                  <c:v>-44.74467635955763</c:v>
                </c:pt>
                <c:pt idx="353">
                  <c:v>-44.844917009418261</c:v>
                </c:pt>
                <c:pt idx="354">
                  <c:v>-44.945487969434794</c:v>
                </c:pt>
                <c:pt idx="355">
                  <c:v>-45.046377391635282</c:v>
                </c:pt>
                <c:pt idx="356">
                  <c:v>-45.147573697855144</c:v>
                </c:pt>
                <c:pt idx="357">
                  <c:v>-45.251281540717123</c:v>
                </c:pt>
                <c:pt idx="358">
                  <c:v>-45.355286187306795</c:v>
                </c:pt>
                <c:pt idx="359">
                  <c:v>-45.459576115344852</c:v>
                </c:pt>
                <c:pt idx="360">
                  <c:v>-45.564140068271499</c:v>
                </c:pt>
                <c:pt idx="361">
                  <c:v>-45.671505149580469</c:v>
                </c:pt>
                <c:pt idx="362">
                  <c:v>-45.779134594096554</c:v>
                </c:pt>
                <c:pt idx="363">
                  <c:v>-45.887017132537743</c:v>
                </c:pt>
                <c:pt idx="364">
                  <c:v>-45.995141759676812</c:v>
                </c:pt>
                <c:pt idx="365">
                  <c:v>-46.105908184851216</c:v>
                </c:pt>
                <c:pt idx="366">
                  <c:v>-46.216905138567782</c:v>
                </c:pt>
                <c:pt idx="367">
                  <c:v>-46.328121678507159</c:v>
                </c:pt>
                <c:pt idx="368">
                  <c:v>-46.439547122652719</c:v>
                </c:pt>
                <c:pt idx="369">
                  <c:v>-46.553903375360335</c:v>
                </c:pt>
                <c:pt idx="370">
                  <c:v>-46.66845698872693</c:v>
                </c:pt>
                <c:pt idx="371">
                  <c:v>-46.783197285143657</c:v>
                </c:pt>
                <c:pt idx="372">
                  <c:v>-46.898113845750729</c:v>
                </c:pt>
                <c:pt idx="373">
                  <c:v>-47.015793042830488</c:v>
                </c:pt>
                <c:pt idx="374">
                  <c:v>-47.133635308420558</c:v>
                </c:pt>
                <c:pt idx="375">
                  <c:v>-47.251630300153572</c:v>
                </c:pt>
                <c:pt idx="376">
                  <c:v>-47.369767930835039</c:v>
                </c:pt>
                <c:pt idx="377">
                  <c:v>-47.490954532462027</c:v>
                </c:pt>
                <c:pt idx="378">
                  <c:v>-47.612270241453622</c:v>
                </c:pt>
                <c:pt idx="379">
                  <c:v>-47.733704998020784</c:v>
                </c:pt>
                <c:pt idx="380">
                  <c:v>-47.855248995959101</c:v>
                </c:pt>
                <c:pt idx="381">
                  <c:v>-47.97951135113987</c:v>
                </c:pt>
                <c:pt idx="382">
                  <c:v>-48.103867795549434</c:v>
                </c:pt>
                <c:pt idx="383">
                  <c:v>-48.228308654370736</c:v>
                </c:pt>
                <c:pt idx="384">
                  <c:v>-48.352824501603266</c:v>
                </c:pt>
                <c:pt idx="385">
                  <c:v>-48.480494437586856</c:v>
                </c:pt>
                <c:pt idx="386">
                  <c:v>-48.60822385541789</c:v>
                </c:pt>
                <c:pt idx="387">
                  <c:v>-48.736003382675676</c:v>
                </c:pt>
                <c:pt idx="388">
                  <c:v>-48.863823894065398</c:v>
                </c:pt>
                <c:pt idx="389">
                  <c:v>-48.994614176730273</c:v>
                </c:pt>
                <c:pt idx="390">
                  <c:v>-49.125428794567689</c:v>
                </c:pt>
                <c:pt idx="391">
                  <c:v>-49.256258740422837</c:v>
                </c:pt>
                <c:pt idx="392">
                  <c:v>-49.387095250678804</c:v>
                </c:pt>
                <c:pt idx="393">
                  <c:v>-49.520868076301532</c:v>
                </c:pt>
                <c:pt idx="394">
                  <c:v>-49.654629987444594</c:v>
                </c:pt>
                <c:pt idx="395">
                  <c:v>-49.788372365681148</c:v>
                </c:pt>
                <c:pt idx="396">
                  <c:v>-49.922086831932432</c:v>
                </c:pt>
                <c:pt idx="397">
                  <c:v>-50.059010096729203</c:v>
                </c:pt>
                <c:pt idx="398">
                  <c:v>-50.195887025424952</c:v>
                </c:pt>
                <c:pt idx="399">
                  <c:v>-50.332709354152591</c:v>
                </c:pt>
                <c:pt idx="400">
                  <c:v>-50.469469055747652</c:v>
                </c:pt>
                <c:pt idx="401">
                  <c:v>-50.609242998085151</c:v>
                </c:pt>
                <c:pt idx="402">
                  <c:v>-50.748935207943646</c:v>
                </c:pt>
                <c:pt idx="403">
                  <c:v>-50.88853782981311</c:v>
                </c:pt>
                <c:pt idx="404">
                  <c:v>-51.028043240488124</c:v>
                </c:pt>
                <c:pt idx="405">
                  <c:v>-51.170673889019263</c:v>
                </c:pt>
                <c:pt idx="406">
                  <c:v>-51.313187339452931</c:v>
                </c:pt>
                <c:pt idx="407">
                  <c:v>-51.455576141334511</c:v>
                </c:pt>
                <c:pt idx="408">
                  <c:v>-51.597833072500265</c:v>
                </c:pt>
                <c:pt idx="409">
                  <c:v>-51.74332220256747</c:v>
                </c:pt>
                <c:pt idx="410">
                  <c:v>-51.88865851731515</c:v>
                </c:pt>
                <c:pt idx="411">
                  <c:v>-52.033834971862142</c:v>
                </c:pt>
                <c:pt idx="412">
                  <c:v>-52.178844745883744</c:v>
                </c:pt>
                <c:pt idx="413">
                  <c:v>-52.327036773443886</c:v>
                </c:pt>
                <c:pt idx="414">
                  <c:v>-52.475040550524945</c:v>
                </c:pt>
                <c:pt idx="415">
                  <c:v>-52.622849461891725</c:v>
                </c:pt>
                <c:pt idx="416">
                  <c:v>-52.770457112415144</c:v>
                </c:pt>
                <c:pt idx="417">
                  <c:v>-52.921346213747924</c:v>
                </c:pt>
                <c:pt idx="418">
                  <c:v>-53.072011525259214</c:v>
                </c:pt>
                <c:pt idx="419">
                  <c:v>-53.222446864016781</c:v>
                </c:pt>
                <c:pt idx="420">
                  <c:v>-53.372646262928519</c:v>
                </c:pt>
                <c:pt idx="421">
                  <c:v>-53.525920171389672</c:v>
                </c:pt>
                <c:pt idx="422">
                  <c:v>-53.678935638189699</c:v>
                </c:pt>
                <c:pt idx="423">
                  <c:v>-53.831686951496877</c:v>
                </c:pt>
                <c:pt idx="424">
                  <c:v>-53.984168609509688</c:v>
                </c:pt>
                <c:pt idx="425">
                  <c:v>-54.140117048385143</c:v>
                </c:pt>
                <c:pt idx="426">
                  <c:v>-54.295771354705984</c:v>
                </c:pt>
                <c:pt idx="427">
                  <c:v>-54.451126257867379</c:v>
                </c:pt>
                <c:pt idx="428">
                  <c:v>-54.606176693239028</c:v>
                </c:pt>
                <c:pt idx="429">
                  <c:v>-54.764481628901315</c:v>
                </c:pt>
                <c:pt idx="430">
                  <c:v>-54.922457806722477</c:v>
                </c:pt>
                <c:pt idx="431">
                  <c:v>-55.080100434524795</c:v>
                </c:pt>
                <c:pt idx="432">
                  <c:v>-55.237404920477545</c:v>
                </c:pt>
                <c:pt idx="433">
                  <c:v>-55.397900058192569</c:v>
                </c:pt>
                <c:pt idx="434">
                  <c:v>-55.558032547567215</c:v>
                </c:pt>
                <c:pt idx="435">
                  <c:v>-55.717798091172263</c:v>
                </c:pt>
                <c:pt idx="436">
                  <c:v>-55.877192585618914</c:v>
                </c:pt>
                <c:pt idx="437">
                  <c:v>-56.040004111084258</c:v>
                </c:pt>
                <c:pt idx="438">
                  <c:v>-56.202418550422486</c:v>
                </c:pt>
                <c:pt idx="439">
                  <c:v>-56.364432093880112</c:v>
                </c:pt>
                <c:pt idx="440">
                  <c:v>-56.526041120140825</c:v>
                </c:pt>
                <c:pt idx="441">
                  <c:v>-56.690996245314089</c:v>
                </c:pt>
                <c:pt idx="442">
                  <c:v>-56.855520674708593</c:v>
                </c:pt>
                <c:pt idx="443">
                  <c:v>-57.019611103259741</c:v>
                </c:pt>
                <c:pt idx="444">
                  <c:v>-57.18326440797388</c:v>
                </c:pt>
                <c:pt idx="445">
                  <c:v>-57.350191636541297</c:v>
                </c:pt>
                <c:pt idx="446">
                  <c:v>-57.516655542990641</c:v>
                </c:pt>
                <c:pt idx="447">
                  <c:v>-57.682653340166198</c:v>
                </c:pt>
                <c:pt idx="448">
                  <c:v>-57.848182415915446</c:v>
                </c:pt>
                <c:pt idx="449">
                  <c:v>-58.017194778618432</c:v>
                </c:pt>
                <c:pt idx="450">
                  <c:v>-58.18571065221586</c:v>
                </c:pt>
                <c:pt idx="451">
                  <c:v>-58.353727765990207</c:v>
                </c:pt>
                <c:pt idx="452">
                  <c:v>-58.521244017627716</c:v>
                </c:pt>
                <c:pt idx="453">
                  <c:v>-58.692025170564904</c:v>
                </c:pt>
                <c:pt idx="454">
                  <c:v>-58.862278641208249</c:v>
                </c:pt>
                <c:pt idx="455">
                  <c:v>-59.03200269192439</c:v>
                </c:pt>
                <c:pt idx="456">
                  <c:v>-59.201195745610853</c:v>
                </c:pt>
                <c:pt idx="457">
                  <c:v>-59.373852486590543</c:v>
                </c:pt>
                <c:pt idx="458">
                  <c:v>-59.545949875655289</c:v>
                </c:pt>
                <c:pt idx="459">
                  <c:v>-59.717486708151959</c:v>
                </c:pt>
                <c:pt idx="460">
                  <c:v>-59.888461932453104</c:v>
                </c:pt>
                <c:pt idx="461">
                  <c:v>-60.062818381690136</c:v>
                </c:pt>
                <c:pt idx="462">
                  <c:v>-60.236585123123795</c:v>
                </c:pt>
                <c:pt idx="463">
                  <c:v>-60.409761492902874</c:v>
                </c:pt>
                <c:pt idx="464">
                  <c:v>-60.582346971997929</c:v>
                </c:pt>
                <c:pt idx="465">
                  <c:v>-60.758365201560657</c:v>
                </c:pt>
                <c:pt idx="466">
                  <c:v>-60.933763859675068</c:v>
                </c:pt>
                <c:pt idx="467">
                  <c:v>-61.108542826946142</c:v>
                </c:pt>
                <c:pt idx="468">
                  <c:v>-61.282702120386659</c:v>
                </c:pt>
                <c:pt idx="469">
                  <c:v>-61.460208827024196</c:v>
                </c:pt>
                <c:pt idx="470">
                  <c:v>-61.6370676035272</c:v>
                </c:pt>
                <c:pt idx="471">
                  <c:v>-61.813278877652174</c:v>
                </c:pt>
                <c:pt idx="472">
                  <c:v>-61.988843204527591</c:v>
                </c:pt>
                <c:pt idx="473">
                  <c:v>-62.167930514583347</c:v>
                </c:pt>
                <c:pt idx="474">
                  <c:v>-62.346341174636414</c:v>
                </c:pt>
                <c:pt idx="475">
                  <c:v>-62.52407616284232</c:v>
                </c:pt>
                <c:pt idx="476">
                  <c:v>-62.701136575833914</c:v>
                </c:pt>
                <c:pt idx="477">
                  <c:v>-62.881629581967701</c:v>
                </c:pt>
                <c:pt idx="478">
                  <c:v>-63.061418861116707</c:v>
                </c:pt>
                <c:pt idx="479">
                  <c:v>-63.240505941843224</c:v>
                </c:pt>
                <c:pt idx="480">
                  <c:v>-63.418892461681295</c:v>
                </c:pt>
                <c:pt idx="481">
                  <c:v>-63.600621893440803</c:v>
                </c:pt>
                <c:pt idx="482">
                  <c:v>-63.781622259414974</c:v>
                </c:pt>
                <c:pt idx="483">
                  <c:v>-63.961895634477592</c:v>
                </c:pt>
                <c:pt idx="484">
                  <c:v>-64.141444192455808</c:v>
                </c:pt>
                <c:pt idx="485">
                  <c:v>-64.324371238261179</c:v>
                </c:pt>
                <c:pt idx="486">
                  <c:v>-64.506544670027353</c:v>
                </c:pt>
                <c:pt idx="487">
                  <c:v>-64.687967106431685</c:v>
                </c:pt>
                <c:pt idx="488">
                  <c:v>-64.868641254907885</c:v>
                </c:pt>
                <c:pt idx="489">
                  <c:v>-65.052847769823401</c:v>
                </c:pt>
                <c:pt idx="490">
                  <c:v>-65.236275924377111</c:v>
                </c:pt>
                <c:pt idx="491">
                  <c:v>-65.418928884393708</c:v>
                </c:pt>
                <c:pt idx="492">
                  <c:v>-65.600809894269872</c:v>
                </c:pt>
                <c:pt idx="493">
                  <c:v>-65.786127864309549</c:v>
                </c:pt>
                <c:pt idx="494">
                  <c:v>-65.970644644393175</c:v>
                </c:pt>
                <c:pt idx="495">
                  <c:v>-66.154363938406846</c:v>
                </c:pt>
                <c:pt idx="496">
                  <c:v>-66.337289518183809</c:v>
                </c:pt>
                <c:pt idx="497">
                  <c:v>-66.523676280464755</c:v>
                </c:pt>
                <c:pt idx="498">
                  <c:v>-66.70923995469073</c:v>
                </c:pt>
                <c:pt idx="499">
                  <c:v>-66.893984778036796</c:v>
                </c:pt>
                <c:pt idx="500">
                  <c:v>-67.077915044809785</c:v>
                </c:pt>
                <c:pt idx="501">
                  <c:v>-67.265327265751438</c:v>
                </c:pt>
                <c:pt idx="502">
                  <c:v>-67.451895478301196</c:v>
                </c:pt>
                <c:pt idx="503">
                  <c:v>-67.637624447130577</c:v>
                </c:pt>
                <c:pt idx="504">
                  <c:v>-67.822518983044887</c:v>
                </c:pt>
                <c:pt idx="505">
                  <c:v>-68.010799054731265</c:v>
                </c:pt>
                <c:pt idx="506">
                  <c:v>-68.198216264358749</c:v>
                </c:pt>
                <c:pt idx="507">
                  <c:v>-68.384775887530793</c:v>
                </c:pt>
                <c:pt idx="508">
                  <c:v>-68.57048323473802</c:v>
                </c:pt>
                <c:pt idx="509">
                  <c:v>-68.759593680222821</c:v>
                </c:pt>
                <c:pt idx="510">
                  <c:v>-68.947823457950719</c:v>
                </c:pt>
                <c:pt idx="511">
                  <c:v>-69.135178344900751</c:v>
                </c:pt>
                <c:pt idx="512">
                  <c:v>-69.32166414160821</c:v>
                </c:pt>
                <c:pt idx="513">
                  <c:v>-69.511677485047286</c:v>
                </c:pt>
                <c:pt idx="514">
                  <c:v>-69.700792399535999</c:v>
                </c:pt>
                <c:pt idx="515">
                  <c:v>-69.889015163735507</c:v>
                </c:pt>
                <c:pt idx="516">
                  <c:v>-70.076352068491545</c:v>
                </c:pt>
                <c:pt idx="517">
                  <c:v>-70.267117683710964</c:v>
                </c:pt>
                <c:pt idx="518">
                  <c:v>-70.456969278313721</c:v>
                </c:pt>
                <c:pt idx="519">
                  <c:v>-70.645913610585083</c:v>
                </c:pt>
                <c:pt idx="520">
                  <c:v>-70.833957439524156</c:v>
                </c:pt>
                <c:pt idx="521">
                  <c:v>-71.025439441664389</c:v>
                </c:pt>
                <c:pt idx="522">
                  <c:v>-71.215992973707202</c:v>
                </c:pt>
                <c:pt idx="523">
                  <c:v>-71.405625260615082</c:v>
                </c:pt>
                <c:pt idx="524">
                  <c:v>-71.594343516581489</c:v>
                </c:pt>
                <c:pt idx="525">
                  <c:v>-71.786507098595763</c:v>
                </c:pt>
                <c:pt idx="526">
                  <c:v>-71.977728926996406</c:v>
                </c:pt>
                <c:pt idx="527">
                  <c:v>-72.168016679334855</c:v>
                </c:pt>
                <c:pt idx="528">
                  <c:v>-72.357378010929409</c:v>
                </c:pt>
                <c:pt idx="529">
                  <c:v>-72.550189703438036</c:v>
                </c:pt>
                <c:pt idx="530">
                  <c:v>-72.742047544632939</c:v>
                </c:pt>
                <c:pt idx="531">
                  <c:v>-72.932959649434224</c:v>
                </c:pt>
                <c:pt idx="532">
                  <c:v>-73.122934099116193</c:v>
                </c:pt>
                <c:pt idx="533">
                  <c:v>-73.316461627607481</c:v>
                </c:pt>
                <c:pt idx="534">
                  <c:v>-73.509023416528009</c:v>
                </c:pt>
                <c:pt idx="535">
                  <c:v>-73.700628015033715</c:v>
                </c:pt>
                <c:pt idx="536">
                  <c:v>-73.891283927214999</c:v>
                </c:pt>
                <c:pt idx="537">
                  <c:v>-74.085296030975769</c:v>
                </c:pt>
                <c:pt idx="538">
                  <c:v>-74.278333721415393</c:v>
                </c:pt>
                <c:pt idx="539">
                  <c:v>-74.470405938042106</c:v>
                </c:pt>
                <c:pt idx="540">
                  <c:v>-74.661521564189457</c:v>
                </c:pt>
                <c:pt idx="541">
                  <c:v>-74.856187524150926</c:v>
                </c:pt>
                <c:pt idx="542">
                  <c:v>-75.049869641271869</c:v>
                </c:pt>
                <c:pt idx="543">
                  <c:v>-75.242577254062638</c:v>
                </c:pt>
                <c:pt idx="544">
                  <c:v>-75.434319633686869</c:v>
                </c:pt>
                <c:pt idx="545">
                  <c:v>-75.62951412458348</c:v>
                </c:pt>
                <c:pt idx="546">
                  <c:v>-75.823717562272449</c:v>
                </c:pt>
                <c:pt idx="547">
                  <c:v>-76.016939651262589</c:v>
                </c:pt>
                <c:pt idx="548">
                  <c:v>-76.209190017858333</c:v>
                </c:pt>
                <c:pt idx="549">
                  <c:v>-76.404889752742505</c:v>
                </c:pt>
                <c:pt idx="550">
                  <c:v>-76.599592442590804</c:v>
                </c:pt>
                <c:pt idx="551">
                  <c:v>-76.793308137678665</c:v>
                </c:pt>
                <c:pt idx="552">
                  <c:v>-76.986046799460198</c:v>
                </c:pt>
                <c:pt idx="553">
                  <c:v>-77.182321123009856</c:v>
                </c:pt>
                <c:pt idx="554">
                  <c:v>-77.377592702454507</c:v>
                </c:pt>
                <c:pt idx="555">
                  <c:v>-77.571871927126679</c:v>
                </c:pt>
                <c:pt idx="556">
                  <c:v>-77.765169087014371</c:v>
                </c:pt>
                <c:pt idx="557">
                  <c:v>-78.15781283730422</c:v>
                </c:pt>
                <c:pt idx="558">
                  <c:v>-78.546470537639806</c:v>
                </c:pt>
                <c:pt idx="559">
                  <c:v>-78.940000568640542</c:v>
                </c:pt>
                <c:pt idx="560">
                  <c:v>-79.329536345784405</c:v>
                </c:pt>
                <c:pt idx="561">
                  <c:v>-79.724266924687683</c:v>
                </c:pt>
                <c:pt idx="562">
                  <c:v>-80.114992796187593</c:v>
                </c:pt>
                <c:pt idx="563">
                  <c:v>-80.510060974105926</c:v>
                </c:pt>
                <c:pt idx="564">
                  <c:v>-80.901135493257385</c:v>
                </c:pt>
                <c:pt idx="565">
                  <c:v>-81.29801737655967</c:v>
                </c:pt>
                <c:pt idx="566">
                  <c:v>-81.690891084560675</c:v>
                </c:pt>
                <c:pt idx="567">
                  <c:v>-82.089364950322931</c:v>
                </c:pt>
                <c:pt idx="568">
                  <c:v>-82.48382485174406</c:v>
                </c:pt>
                <c:pt idx="569">
                  <c:v>-82.882136561662236</c:v>
                </c:pt>
                <c:pt idx="570">
                  <c:v>-83.27646771481156</c:v>
                </c:pt>
                <c:pt idx="571">
                  <c:v>-83.677577367244169</c:v>
                </c:pt>
                <c:pt idx="572">
                  <c:v>-84.074685137860129</c:v>
                </c:pt>
                <c:pt idx="573">
                  <c:v>-84.475354884556864</c:v>
                </c:pt>
                <c:pt idx="574">
                  <c:v>-84.872069734248441</c:v>
                </c:pt>
                <c:pt idx="575">
                  <c:v>-85.275175569264348</c:v>
                </c:pt>
                <c:pt idx="576">
                  <c:v>-85.674320967678398</c:v>
                </c:pt>
                <c:pt idx="577">
                  <c:v>-87.322487167811218</c:v>
                </c:pt>
                <c:pt idx="578">
                  <c:v>-88.908346477252778</c:v>
                </c:pt>
                <c:pt idx="579">
                  <c:v>-92.194697119740013</c:v>
                </c:pt>
                <c:pt idx="580">
                  <c:v>-95.553172332875818</c:v>
                </c:pt>
                <c:pt idx="581">
                  <c:v>-98.996395756312367</c:v>
                </c:pt>
                <c:pt idx="582">
                  <c:v>-102.54670884662592</c:v>
                </c:pt>
                <c:pt idx="583">
                  <c:v>-106.22407493448974</c:v>
                </c:pt>
                <c:pt idx="584">
                  <c:v>-110.05614044746181</c:v>
                </c:pt>
                <c:pt idx="585">
                  <c:v>-114.06772147955475</c:v>
                </c:pt>
                <c:pt idx="586">
                  <c:v>-118.28824987707461</c:v>
                </c:pt>
                <c:pt idx="587">
                  <c:v>-122.75081258867927</c:v>
                </c:pt>
                <c:pt idx="588">
                  <c:v>-127.48334586290449</c:v>
                </c:pt>
                <c:pt idx="589">
                  <c:v>-132.52293673100897</c:v>
                </c:pt>
                <c:pt idx="590">
                  <c:v>-137.90167617045179</c:v>
                </c:pt>
                <c:pt idx="591">
                  <c:v>-143.65347258710418</c:v>
                </c:pt>
                <c:pt idx="592">
                  <c:v>-149.80904460708089</c:v>
                </c:pt>
                <c:pt idx="593">
                  <c:v>-156.39770192058577</c:v>
                </c:pt>
                <c:pt idx="594">
                  <c:v>-163.43794340365292</c:v>
                </c:pt>
                <c:pt idx="595">
                  <c:v>-170.93987997454317</c:v>
                </c:pt>
                <c:pt idx="596">
                  <c:v>-178.89390816550414</c:v>
                </c:pt>
                <c:pt idx="597">
                  <c:v>-187.27115142125692</c:v>
                </c:pt>
                <c:pt idx="598">
                  <c:v>-196.01142860696476</c:v>
                </c:pt>
                <c:pt idx="599">
                  <c:v>-205.02884935207851</c:v>
                </c:pt>
                <c:pt idx="600">
                  <c:v>-214.20594936235932</c:v>
                </c:pt>
              </c:numCache>
            </c:numRef>
          </c:yVal>
          <c:smooth val="0"/>
          <c:extLst>
            <c:ext xmlns:c16="http://schemas.microsoft.com/office/drawing/2014/chart" uri="{C3380CC4-5D6E-409C-BE32-E72D297353CC}">
              <c16:uniqueId val="{00000001-C921-4838-A0BE-4B6A27AAB705}"/>
            </c:ext>
          </c:extLst>
        </c:ser>
        <c:dLbls>
          <c:showLegendKey val="0"/>
          <c:showVal val="0"/>
          <c:showCatName val="0"/>
          <c:showSerName val="0"/>
          <c:showPercent val="0"/>
          <c:showBubbleSize val="0"/>
        </c:dLbls>
        <c:axId val="182174464"/>
        <c:axId val="182176000"/>
      </c:scatterChart>
      <c:valAx>
        <c:axId val="182162176"/>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164096"/>
        <c:crossesAt val="-40"/>
        <c:crossBetween val="midCat"/>
        <c:majorUnit val="10"/>
        <c:minorUnit val="10"/>
      </c:valAx>
      <c:valAx>
        <c:axId val="182164096"/>
        <c:scaling>
          <c:orientation val="minMax"/>
          <c:max val="10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2162176"/>
        <c:crossesAt val="0.1"/>
        <c:crossBetween val="midCat"/>
        <c:majorUnit val="20"/>
        <c:minorUnit val="4"/>
      </c:valAx>
      <c:valAx>
        <c:axId val="182174464"/>
        <c:scaling>
          <c:logBase val="10"/>
          <c:orientation val="minMax"/>
        </c:scaling>
        <c:delete val="1"/>
        <c:axPos val="t"/>
        <c:numFmt formatCode="General" sourceLinked="1"/>
        <c:majorTickMark val="out"/>
        <c:minorTickMark val="none"/>
        <c:tickLblPos val="none"/>
        <c:crossAx val="182176000"/>
        <c:crossesAt val="0"/>
        <c:crossBetween val="midCat"/>
      </c:valAx>
      <c:valAx>
        <c:axId val="18217600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217446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Ch2 Bode Plot</a:t>
            </a:r>
          </a:p>
        </c:rich>
      </c:tx>
      <c:layout>
        <c:manualLayout>
          <c:xMode val="edge"/>
          <c:yMode val="edge"/>
          <c:x val="0.35617103984450921"/>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'Ch2 Stability Calculations'!$Q$12</c:f>
              <c:strCache>
                <c:ptCount val="1"/>
                <c:pt idx="0">
                  <c:v>Gain (dB)</c:v>
                </c:pt>
              </c:strCache>
            </c:strRef>
          </c:tx>
          <c:spPr>
            <a:ln w="2540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75.153880838885257</c:v>
                </c:pt>
                <c:pt idx="1">
                  <c:v>74.367416296178646</c:v>
                </c:pt>
                <c:pt idx="2">
                  <c:v>73.578765494667351</c:v>
                </c:pt>
                <c:pt idx="3">
                  <c:v>72.78826949990723</c:v>
                </c:pt>
                <c:pt idx="4">
                  <c:v>71.99673292538678</c:v>
                </c:pt>
                <c:pt idx="5">
                  <c:v>71.203078247966616</c:v>
                </c:pt>
                <c:pt idx="6">
                  <c:v>70.408632697879213</c:v>
                </c:pt>
                <c:pt idx="7">
                  <c:v>69.613041584894546</c:v>
                </c:pt>
                <c:pt idx="8">
                  <c:v>68.817026157909353</c:v>
                </c:pt>
                <c:pt idx="9">
                  <c:v>68.020101956024916</c:v>
                </c:pt>
                <c:pt idx="10">
                  <c:v>67.22282585328017</c:v>
                </c:pt>
                <c:pt idx="11">
                  <c:v>66.425167106620307</c:v>
                </c:pt>
                <c:pt idx="12">
                  <c:v>65.626772511686241</c:v>
                </c:pt>
                <c:pt idx="13">
                  <c:v>64.828466782777184</c:v>
                </c:pt>
                <c:pt idx="14">
                  <c:v>64.02966098858704</c:v>
                </c:pt>
                <c:pt idx="15">
                  <c:v>63.230702552743139</c:v>
                </c:pt>
                <c:pt idx="16">
                  <c:v>62.431560646614265</c:v>
                </c:pt>
                <c:pt idx="17">
                  <c:v>61.632376800883165</c:v>
                </c:pt>
                <c:pt idx="18">
                  <c:v>60.832941930783107</c:v>
                </c:pt>
                <c:pt idx="19">
                  <c:v>60.03348964509474</c:v>
                </c:pt>
                <c:pt idx="20">
                  <c:v>59.23387575873457</c:v>
                </c:pt>
                <c:pt idx="21">
                  <c:v>58.434275569356004</c:v>
                </c:pt>
                <c:pt idx="22">
                  <c:v>57.6345280248119</c:v>
                </c:pt>
                <c:pt idx="23">
                  <c:v>56.834838798894005</c:v>
                </c:pt>
                <c:pt idx="24">
                  <c:v>56.035010601105654</c:v>
                </c:pt>
                <c:pt idx="25">
                  <c:v>55.235172230324963</c:v>
                </c:pt>
                <c:pt idx="26">
                  <c:v>54.43514136900415</c:v>
                </c:pt>
                <c:pt idx="27">
                  <c:v>53.635176018439907</c:v>
                </c:pt>
                <c:pt idx="28">
                  <c:v>52.835247857524053</c:v>
                </c:pt>
                <c:pt idx="29">
                  <c:v>52.035856252358059</c:v>
                </c:pt>
                <c:pt idx="30">
                  <c:v>51.235651742638296</c:v>
                </c:pt>
                <c:pt idx="31">
                  <c:v>50.435754743281421</c:v>
                </c:pt>
                <c:pt idx="32">
                  <c:v>49.635624987287514</c:v>
                </c:pt>
                <c:pt idx="33">
                  <c:v>48.835835092193051</c:v>
                </c:pt>
                <c:pt idx="34">
                  <c:v>48.035770981786435</c:v>
                </c:pt>
                <c:pt idx="35">
                  <c:v>47.235885896722849</c:v>
                </c:pt>
                <c:pt idx="36">
                  <c:v>46.436060605628874</c:v>
                </c:pt>
                <c:pt idx="37">
                  <c:v>45.635867863142721</c:v>
                </c:pt>
                <c:pt idx="38">
                  <c:v>44.836073356694904</c:v>
                </c:pt>
                <c:pt idx="39">
                  <c:v>44.036036496003391</c:v>
                </c:pt>
                <c:pt idx="40">
                  <c:v>43.236063582734864</c:v>
                </c:pt>
                <c:pt idx="41">
                  <c:v>42.436089301912375</c:v>
                </c:pt>
                <c:pt idx="42">
                  <c:v>41.636227047189884</c:v>
                </c:pt>
                <c:pt idx="43">
                  <c:v>40.836244522664551</c:v>
                </c:pt>
                <c:pt idx="44">
                  <c:v>40.036356908069948</c:v>
                </c:pt>
                <c:pt idx="45">
                  <c:v>39.236405146192496</c:v>
                </c:pt>
                <c:pt idx="46">
                  <c:v>38.436553127647251</c:v>
                </c:pt>
                <c:pt idx="47">
                  <c:v>37.636631190867448</c:v>
                </c:pt>
                <c:pt idx="48">
                  <c:v>36.836839125695519</c:v>
                </c:pt>
                <c:pt idx="49">
                  <c:v>36.036976119316272</c:v>
                </c:pt>
                <c:pt idx="50">
                  <c:v>35.237169802703498</c:v>
                </c:pt>
                <c:pt idx="51">
                  <c:v>34.437238973218783</c:v>
                </c:pt>
                <c:pt idx="52">
                  <c:v>33.637445009614019</c:v>
                </c:pt>
                <c:pt idx="53">
                  <c:v>32.837765401663759</c:v>
                </c:pt>
                <c:pt idx="54">
                  <c:v>32.038707706045258</c:v>
                </c:pt>
                <c:pt idx="55">
                  <c:v>31.238934416154596</c:v>
                </c:pt>
                <c:pt idx="56">
                  <c:v>30.439580068204883</c:v>
                </c:pt>
                <c:pt idx="57">
                  <c:v>29.640123171401921</c:v>
                </c:pt>
                <c:pt idx="58">
                  <c:v>28.841158650724921</c:v>
                </c:pt>
                <c:pt idx="59">
                  <c:v>28.042101039148093</c:v>
                </c:pt>
                <c:pt idx="60">
                  <c:v>27.243437134339143</c:v>
                </c:pt>
                <c:pt idx="61">
                  <c:v>26.445089125021855</c:v>
                </c:pt>
                <c:pt idx="62">
                  <c:v>25.646680698226461</c:v>
                </c:pt>
                <c:pt idx="63">
                  <c:v>24.84903607013138</c:v>
                </c:pt>
                <c:pt idx="64">
                  <c:v>24.051588818817006</c:v>
                </c:pt>
                <c:pt idx="65">
                  <c:v>23.254731617138823</c:v>
                </c:pt>
                <c:pt idx="66">
                  <c:v>22.458504074639482</c:v>
                </c:pt>
                <c:pt idx="67">
                  <c:v>21.663144521939415</c:v>
                </c:pt>
                <c:pt idx="68">
                  <c:v>20.868572524911386</c:v>
                </c:pt>
                <c:pt idx="69">
                  <c:v>20.075182053350588</c:v>
                </c:pt>
                <c:pt idx="70">
                  <c:v>19.28303079804391</c:v>
                </c:pt>
                <c:pt idx="71">
                  <c:v>18.492538322730425</c:v>
                </c:pt>
                <c:pt idx="72">
                  <c:v>17.703843827388209</c:v>
                </c:pt>
                <c:pt idx="73">
                  <c:v>16.91750946856785</c:v>
                </c:pt>
                <c:pt idx="74">
                  <c:v>16.133771747847202</c:v>
                </c:pt>
                <c:pt idx="75">
                  <c:v>15.353270416139857</c:v>
                </c:pt>
                <c:pt idx="76">
                  <c:v>14.576437501819907</c:v>
                </c:pt>
                <c:pt idx="77">
                  <c:v>13.804243364224638</c:v>
                </c:pt>
                <c:pt idx="78">
                  <c:v>13.037504597638174</c:v>
                </c:pt>
                <c:pt idx="79">
                  <c:v>12.277680115480802</c:v>
                </c:pt>
                <c:pt idx="80">
                  <c:v>11.524637362605208</c:v>
                </c:pt>
                <c:pt idx="81">
                  <c:v>10.780760062082994</c:v>
                </c:pt>
                <c:pt idx="82">
                  <c:v>10.047056931317947</c:v>
                </c:pt>
                <c:pt idx="83">
                  <c:v>9.3257614661562052</c:v>
                </c:pt>
                <c:pt idx="84">
                  <c:v>8.6182318369267321</c:v>
                </c:pt>
                <c:pt idx="85">
                  <c:v>7.92698020251553</c:v>
                </c:pt>
                <c:pt idx="86">
                  <c:v>7.2541813322128137</c:v>
                </c:pt>
                <c:pt idx="87">
                  <c:v>6.6019146150337313</c:v>
                </c:pt>
                <c:pt idx="88">
                  <c:v>5.9733173093160739</c:v>
                </c:pt>
                <c:pt idx="89">
                  <c:v>5.3704077003360071</c:v>
                </c:pt>
                <c:pt idx="90">
                  <c:v>4.7958739002925483</c:v>
                </c:pt>
                <c:pt idx="91">
                  <c:v>4.2519255708226513</c:v>
                </c:pt>
                <c:pt idx="92">
                  <c:v>3.7405861184940949</c:v>
                </c:pt>
                <c:pt idx="93">
                  <c:v>3.2632369634381742</c:v>
                </c:pt>
                <c:pt idx="94">
                  <c:v>3.1494004164920626</c:v>
                </c:pt>
                <c:pt idx="95">
                  <c:v>3.09296234737017</c:v>
                </c:pt>
                <c:pt idx="96">
                  <c:v>3.0377195678766911</c:v>
                </c:pt>
                <c:pt idx="97">
                  <c:v>2.9823995581865086</c:v>
                </c:pt>
                <c:pt idx="98">
                  <c:v>2.9282634014066278</c:v>
                </c:pt>
                <c:pt idx="99">
                  <c:v>2.874050354562895</c:v>
                </c:pt>
                <c:pt idx="100">
                  <c:v>2.8210096538853997</c:v>
                </c:pt>
                <c:pt idx="101">
                  <c:v>2.7679332989785617</c:v>
                </c:pt>
                <c:pt idx="102">
                  <c:v>2.7160159130518831</c:v>
                </c:pt>
                <c:pt idx="103">
                  <c:v>2.6640255618923083</c:v>
                </c:pt>
                <c:pt idx="104">
                  <c:v>2.6131823644126118</c:v>
                </c:pt>
                <c:pt idx="105">
                  <c:v>2.5623069194284565</c:v>
                </c:pt>
                <c:pt idx="106">
                  <c:v>2.5125648932320428</c:v>
                </c:pt>
                <c:pt idx="107">
                  <c:v>2.4628276464367946</c:v>
                </c:pt>
                <c:pt idx="108">
                  <c:v>2.4142083121701985</c:v>
                </c:pt>
                <c:pt idx="109">
                  <c:v>2.3655945310207125</c:v>
                </c:pt>
                <c:pt idx="110">
                  <c:v>2.3180830117544025</c:v>
                </c:pt>
                <c:pt idx="111">
                  <c:v>2.2705476029290965</c:v>
                </c:pt>
                <c:pt idx="112">
                  <c:v>2.2241000243729263</c:v>
                </c:pt>
                <c:pt idx="113">
                  <c:v>2.1776638464402067</c:v>
                </c:pt>
                <c:pt idx="114">
                  <c:v>2.1322992895203869</c:v>
                </c:pt>
                <c:pt idx="115">
                  <c:v>2.0869493831549937</c:v>
                </c:pt>
                <c:pt idx="116">
                  <c:v>2.0426545913634073</c:v>
                </c:pt>
                <c:pt idx="117">
                  <c:v>1.9983782165163873</c:v>
                </c:pt>
                <c:pt idx="118">
                  <c:v>1.955140117537473</c:v>
                </c:pt>
                <c:pt idx="119">
                  <c:v>1.9119504512455796</c:v>
                </c:pt>
                <c:pt idx="120">
                  <c:v>1.86978064497701</c:v>
                </c:pt>
                <c:pt idx="121">
                  <c:v>1.8276612311794269</c:v>
                </c:pt>
                <c:pt idx="122">
                  <c:v>1.7865430191126954</c:v>
                </c:pt>
                <c:pt idx="123">
                  <c:v>1.7454539266681282</c:v>
                </c:pt>
                <c:pt idx="124">
                  <c:v>1.7053482360507948</c:v>
                </c:pt>
                <c:pt idx="125">
                  <c:v>1.6652986605795279</c:v>
                </c:pt>
                <c:pt idx="126">
                  <c:v>1.6262132098106941</c:v>
                </c:pt>
                <c:pt idx="127">
                  <c:v>1.5871862543823538</c:v>
                </c:pt>
                <c:pt idx="128">
                  <c:v>1.5491038697882342</c:v>
                </c:pt>
                <c:pt idx="129">
                  <c:v>1.5110823181910658</c:v>
                </c:pt>
                <c:pt idx="130">
                  <c:v>1.4739855066400018</c:v>
                </c:pt>
                <c:pt idx="131">
                  <c:v>1.4369517389917381</c:v>
                </c:pt>
                <c:pt idx="132">
                  <c:v>1.4187760162329688</c:v>
                </c:pt>
                <c:pt idx="133">
                  <c:v>1.4008226089416118</c:v>
                </c:pt>
                <c:pt idx="134">
                  <c:v>1.3826688080587823</c:v>
                </c:pt>
                <c:pt idx="135">
                  <c:v>1.3647401451104479</c:v>
                </c:pt>
                <c:pt idx="136">
                  <c:v>1.3470327556972974</c:v>
                </c:pt>
                <c:pt idx="137">
                  <c:v>1.3295428525613118</c:v>
                </c:pt>
                <c:pt idx="138">
                  <c:v>1.3118769429570332</c:v>
                </c:pt>
                <c:pt idx="139">
                  <c:v>1.294430734397235</c:v>
                </c:pt>
                <c:pt idx="140">
                  <c:v>1.2772004147556639</c:v>
                </c:pt>
                <c:pt idx="141">
                  <c:v>1.2601822487824952</c:v>
                </c:pt>
                <c:pt idx="142">
                  <c:v>1.2429764626463007</c:v>
                </c:pt>
                <c:pt idx="143">
                  <c:v>1.2259853286322062</c:v>
                </c:pt>
                <c:pt idx="144">
                  <c:v>1.2092050782916806</c:v>
                </c:pt>
                <c:pt idx="145">
                  <c:v>1.1926320200169997</c:v>
                </c:pt>
                <c:pt idx="146">
                  <c:v>1.1758857365610511</c:v>
                </c:pt>
                <c:pt idx="147">
                  <c:v>1.1593487750817391</c:v>
                </c:pt>
                <c:pt idx="148">
                  <c:v>1.1430174196442813</c:v>
                </c:pt>
                <c:pt idx="149">
                  <c:v>1.1268880308771658</c:v>
                </c:pt>
                <c:pt idx="150">
                  <c:v>1.1105910163580264</c:v>
                </c:pt>
                <c:pt idx="151">
                  <c:v>1.0944979463445028</c:v>
                </c:pt>
                <c:pt idx="152">
                  <c:v>1.0786051603287861</c:v>
                </c:pt>
                <c:pt idx="153">
                  <c:v>1.0629090740011258</c:v>
                </c:pt>
                <c:pt idx="154">
                  <c:v>1.0470435310016371</c:v>
                </c:pt>
                <c:pt idx="155">
                  <c:v>1.0313766957524613</c:v>
                </c:pt>
                <c:pt idx="156">
                  <c:v>1.0159049610846991</c:v>
                </c:pt>
                <c:pt idx="157">
                  <c:v>1.0006247957106658</c:v>
                </c:pt>
                <c:pt idx="158">
                  <c:v>0.98518092766464216</c:v>
                </c:pt>
                <c:pt idx="159">
                  <c:v>0.96993047343083649</c:v>
                </c:pt>
                <c:pt idx="160">
                  <c:v>0.95486988242895932</c:v>
                </c:pt>
                <c:pt idx="161">
                  <c:v>0.93999567954133689</c:v>
                </c:pt>
                <c:pt idx="162">
                  <c:v>0.92496983955072887</c:v>
                </c:pt>
                <c:pt idx="163">
                  <c:v>0.91013190816379608</c:v>
                </c:pt>
                <c:pt idx="164">
                  <c:v>0.89547839903924209</c:v>
                </c:pt>
                <c:pt idx="165">
                  <c:v>0.8810059006479859</c:v>
                </c:pt>
                <c:pt idx="166">
                  <c:v>0.86637404855717604</c:v>
                </c:pt>
                <c:pt idx="167">
                  <c:v>0.85192489517866521</c:v>
                </c:pt>
                <c:pt idx="168">
                  <c:v>0.83765501212013038</c:v>
                </c:pt>
                <c:pt idx="169">
                  <c:v>0.82356104531306051</c:v>
                </c:pt>
                <c:pt idx="170">
                  <c:v>0.80934284034533954</c:v>
                </c:pt>
                <c:pt idx="171">
                  <c:v>0.79530133770912459</c:v>
                </c:pt>
                <c:pt idx="172">
                  <c:v>0.78143319110284326</c:v>
                </c:pt>
                <c:pt idx="173">
                  <c:v>0.76773512734128357</c:v>
                </c:pt>
                <c:pt idx="174">
                  <c:v>0.75386495136620835</c:v>
                </c:pt>
                <c:pt idx="175">
                  <c:v>0.74016680246332078</c:v>
                </c:pt>
                <c:pt idx="176">
                  <c:v>0.72663738104486886</c:v>
                </c:pt>
                <c:pt idx="177">
                  <c:v>0.7132734604383919</c:v>
                </c:pt>
                <c:pt idx="178">
                  <c:v>0.69974927488429495</c:v>
                </c:pt>
                <c:pt idx="179">
                  <c:v>0.68639219842215482</c:v>
                </c:pt>
                <c:pt idx="180">
                  <c:v>0.67319898664733624</c:v>
                </c:pt>
                <c:pt idx="181">
                  <c:v>0.66016646760821207</c:v>
                </c:pt>
                <c:pt idx="182">
                  <c:v>0.64703562788507751</c:v>
                </c:pt>
                <c:pt idx="183">
                  <c:v>0.6340655290000069</c:v>
                </c:pt>
                <c:pt idx="184">
                  <c:v>0.62125302600558996</c:v>
                </c:pt>
                <c:pt idx="185">
                  <c:v>0.60859504460198555</c:v>
                </c:pt>
                <c:pt idx="186">
                  <c:v>0.59574737314303527</c:v>
                </c:pt>
                <c:pt idx="187">
                  <c:v>0.58305646469308303</c:v>
                </c:pt>
                <c:pt idx="188">
                  <c:v>0.57051920586736671</c:v>
                </c:pt>
                <c:pt idx="189">
                  <c:v>0.5581325541284784</c:v>
                </c:pt>
                <c:pt idx="190">
                  <c:v>0.5456613833574252</c:v>
                </c:pt>
                <c:pt idx="191">
                  <c:v>0.53334045971246358</c:v>
                </c:pt>
                <c:pt idx="192">
                  <c:v>0.5211667784712839</c:v>
                </c:pt>
                <c:pt idx="193">
                  <c:v>0.50913740360501658</c:v>
                </c:pt>
                <c:pt idx="194">
                  <c:v>0.49693967423088176</c:v>
                </c:pt>
                <c:pt idx="195">
                  <c:v>0.48488786631266312</c:v>
                </c:pt>
                <c:pt idx="196">
                  <c:v>0.47297902067255976</c:v>
                </c:pt>
                <c:pt idx="197">
                  <c:v>0.4612102465593656</c:v>
                </c:pt>
                <c:pt idx="198">
                  <c:v>0.44932552955271682</c:v>
                </c:pt>
                <c:pt idx="199">
                  <c:v>0.43758119298975806</c:v>
                </c:pt>
                <c:pt idx="200">
                  <c:v>0.42597436183697152</c:v>
                </c:pt>
                <c:pt idx="201">
                  <c:v>0.41450222801106112</c:v>
                </c:pt>
                <c:pt idx="202">
                  <c:v>0.40292046896093792</c:v>
                </c:pt>
                <c:pt idx="203">
                  <c:v>0.39147352554948284</c:v>
                </c:pt>
                <c:pt idx="204">
                  <c:v>0.38015861015019575</c:v>
                </c:pt>
                <c:pt idx="205">
                  <c:v>0.36897300047093129</c:v>
                </c:pt>
                <c:pt idx="206">
                  <c:v>0.35764492959285343</c:v>
                </c:pt>
                <c:pt idx="207">
                  <c:v>0.34644698990335854</c:v>
                </c:pt>
                <c:pt idx="208">
                  <c:v>0.3353764562274465</c:v>
                </c:pt>
                <c:pt idx="209">
                  <c:v>0.32443066785351393</c:v>
                </c:pt>
                <c:pt idx="210">
                  <c:v>0.31331318962883775</c:v>
                </c:pt>
                <c:pt idx="211">
                  <c:v>0.30232187056386189</c:v>
                </c:pt>
                <c:pt idx="212">
                  <c:v>0.29145402706346196</c:v>
                </c:pt>
                <c:pt idx="213">
                  <c:v>0.28070703976458022</c:v>
                </c:pt>
                <c:pt idx="214">
                  <c:v>0.26986766961139508</c:v>
                </c:pt>
                <c:pt idx="215">
                  <c:v>0.25914871442925025</c:v>
                </c:pt>
                <c:pt idx="216">
                  <c:v>0.24854759032297363</c:v>
                </c:pt>
                <c:pt idx="217">
                  <c:v>0.23806177552397711</c:v>
                </c:pt>
                <c:pt idx="218">
                  <c:v>0.22745358838401908</c:v>
                </c:pt>
                <c:pt idx="219">
                  <c:v>0.21696088420437343</c:v>
                </c:pt>
                <c:pt idx="220">
                  <c:v>0.20658115541138833</c:v>
                </c:pt>
                <c:pt idx="221">
                  <c:v>0.19631195515950342</c:v>
                </c:pt>
                <c:pt idx="222">
                  <c:v>0.18592558945772583</c:v>
                </c:pt>
                <c:pt idx="223">
                  <c:v>0.17564975090697094</c:v>
                </c:pt>
                <c:pt idx="224">
                  <c:v>0.16548201131146179</c:v>
                </c:pt>
                <c:pt idx="225">
                  <c:v>0.15542000167226527</c:v>
                </c:pt>
                <c:pt idx="226">
                  <c:v>0.14521452260006992</c:v>
                </c:pt>
                <c:pt idx="227">
                  <c:v>0.1351152536338095</c:v>
                </c:pt>
                <c:pt idx="228">
                  <c:v>0.12511982704247693</c:v>
                </c:pt>
                <c:pt idx="229">
                  <c:v>0.11522593334397863</c:v>
                </c:pt>
                <c:pt idx="230">
                  <c:v>9.5264613529001035E-2</c:v>
                </c:pt>
                <c:pt idx="231">
                  <c:v>8.5434359558974535E-2</c:v>
                </c:pt>
                <c:pt idx="232">
                  <c:v>7.5701363162619342E-2</c:v>
                </c:pt>
                <c:pt idx="233">
                  <c:v>6.5835778334816589E-2</c:v>
                </c:pt>
                <c:pt idx="234">
                  <c:v>5.6067537269246591E-2</c:v>
                </c:pt>
                <c:pt idx="235">
                  <c:v>4.6394406280362219E-2</c:v>
                </c:pt>
                <c:pt idx="236">
                  <c:v>3.6814207530427551E-2</c:v>
                </c:pt>
                <c:pt idx="237">
                  <c:v>2.7133204489923724E-2</c:v>
                </c:pt>
                <c:pt idx="238">
                  <c:v>1.7544533669569325E-2</c:v>
                </c:pt>
                <c:pt idx="239">
                  <c:v>8.0460515241383458E-3</c:v>
                </c:pt>
                <c:pt idx="240">
                  <c:v>-1.3643316587307593E-3</c:v>
                </c:pt>
                <c:pt idx="241">
                  <c:v>-1.0925948607737639E-2</c:v>
                </c:pt>
                <c:pt idx="242">
                  <c:v>-2.0399188949663648E-2</c:v>
                </c:pt>
                <c:pt idx="243">
                  <c:v>-2.9786140445892794E-2</c:v>
                </c:pt>
                <c:pt idx="244">
                  <c:v>-3.9088837923104407E-2</c:v>
                </c:pt>
                <c:pt idx="245">
                  <c:v>-4.8512678668409512E-2</c:v>
                </c:pt>
                <c:pt idx="246">
                  <c:v>-5.7852626253367137E-2</c:v>
                </c:pt>
                <c:pt idx="247">
                  <c:v>-6.7110692170237907E-2</c:v>
                </c:pt>
                <c:pt idx="248">
                  <c:v>-7.628883658923892E-2</c:v>
                </c:pt>
                <c:pt idx="249">
                  <c:v>-8.5609965563369014E-2</c:v>
                </c:pt>
                <c:pt idx="250">
                  <c:v>-9.4851232302773564E-2</c:v>
                </c:pt>
                <c:pt idx="251">
                  <c:v>-0.10401458607489333</c:v>
                </c:pt>
                <c:pt idx="252">
                  <c:v>-0.11310192598892842</c:v>
                </c:pt>
                <c:pt idx="253">
                  <c:v>-0.12230506933236124</c:v>
                </c:pt>
                <c:pt idx="254">
                  <c:v>-0.13143279623975002</c:v>
                </c:pt>
                <c:pt idx="255">
                  <c:v>-0.14048697643919009</c:v>
                </c:pt>
                <c:pt idx="256">
                  <c:v>-0.1494694312833619</c:v>
                </c:pt>
                <c:pt idx="257">
                  <c:v>-0.15861191509961378</c:v>
                </c:pt>
                <c:pt idx="258">
                  <c:v>-0.16768264250582399</c:v>
                </c:pt>
                <c:pt idx="259">
                  <c:v>-0.1766834306415182</c:v>
                </c:pt>
                <c:pt idx="260">
                  <c:v>-0.18561604915093366</c:v>
                </c:pt>
                <c:pt idx="261">
                  <c:v>-0.19468296652617595</c:v>
                </c:pt>
                <c:pt idx="262">
                  <c:v>-0.2036821784704792</c:v>
                </c:pt>
                <c:pt idx="263">
                  <c:v>-0.21261543294700061</c:v>
                </c:pt>
                <c:pt idx="264">
                  <c:v>-0.22148443189889044</c:v>
                </c:pt>
                <c:pt idx="265">
                  <c:v>-0.23048583186407676</c:v>
                </c:pt>
                <c:pt idx="266">
                  <c:v>-0.23942354387365128</c:v>
                </c:pt>
                <c:pt idx="267">
                  <c:v>-0.24829924556064867</c:v>
                </c:pt>
                <c:pt idx="268">
                  <c:v>-0.25711457007961797</c:v>
                </c:pt>
                <c:pt idx="269">
                  <c:v>-0.26608190387133901</c:v>
                </c:pt>
                <c:pt idx="270">
                  <c:v>-0.27498923861925811</c:v>
                </c:pt>
                <c:pt idx="271">
                  <c:v>-0.28383819223027984</c:v>
                </c:pt>
                <c:pt idx="272">
                  <c:v>-0.29263033932313787</c:v>
                </c:pt>
                <c:pt idx="273">
                  <c:v>-0.30157261590526901</c:v>
                </c:pt>
                <c:pt idx="274">
                  <c:v>-0.3104585799230023</c:v>
                </c:pt>
                <c:pt idx="275">
                  <c:v>-0.31928978753720783</c:v>
                </c:pt>
                <c:pt idx="276">
                  <c:v>-0.32806775290098422</c:v>
                </c:pt>
                <c:pt idx="277">
                  <c:v>-0.33697436981261064</c:v>
                </c:pt>
                <c:pt idx="278">
                  <c:v>-0.34582857295992631</c:v>
                </c:pt>
                <c:pt idx="279">
                  <c:v>-0.35463184534358483</c:v>
                </c:pt>
                <c:pt idx="280">
                  <c:v>-0.36338562966897719</c:v>
                </c:pt>
                <c:pt idx="281">
                  <c:v>-0.37232649391035455</c:v>
                </c:pt>
                <c:pt idx="282">
                  <c:v>-0.3812181124698486</c:v>
                </c:pt>
                <c:pt idx="283">
                  <c:v>-0.39006192372192994</c:v>
                </c:pt>
                <c:pt idx="284">
                  <c:v>-0.39885932644347488</c:v>
                </c:pt>
                <c:pt idx="285">
                  <c:v>-0.40778435922742984</c:v>
                </c:pt>
                <c:pt idx="286">
                  <c:v>-0.41666394688253888</c:v>
                </c:pt>
                <c:pt idx="287">
                  <c:v>-0.42549945329785349</c:v>
                </c:pt>
                <c:pt idx="288">
                  <c:v>-0.43429220456802387</c:v>
                </c:pt>
                <c:pt idx="289">
                  <c:v>-0.44326927775265101</c:v>
                </c:pt>
                <c:pt idx="290">
                  <c:v>-0.45220406587128004</c:v>
                </c:pt>
                <c:pt idx="291">
                  <c:v>-0.46109788411009245</c:v>
                </c:pt>
                <c:pt idx="292">
                  <c:v>-0.46995201073220649</c:v>
                </c:pt>
                <c:pt idx="293">
                  <c:v>-0.4789709670216703</c:v>
                </c:pt>
                <c:pt idx="294">
                  <c:v>-0.48795096950942024</c:v>
                </c:pt>
                <c:pt idx="295">
                  <c:v>-0.49689327445541032</c:v>
                </c:pt>
                <c:pt idx="296">
                  <c:v>-0.50579910245823578</c:v>
                </c:pt>
                <c:pt idx="297">
                  <c:v>-0.51486960224123368</c:v>
                </c:pt>
                <c:pt idx="298">
                  <c:v>-0.52390443077933002</c:v>
                </c:pt>
                <c:pt idx="299">
                  <c:v>-0.53290478464937996</c:v>
                </c:pt>
                <c:pt idx="300">
                  <c:v>-0.54187182607263418</c:v>
                </c:pt>
                <c:pt idx="301">
                  <c:v>-0.55100368539573996</c:v>
                </c:pt>
                <c:pt idx="302">
                  <c:v>-0.56010309422169069</c:v>
                </c:pt>
                <c:pt idx="303">
                  <c:v>-0.56917118906436259</c:v>
                </c:pt>
                <c:pt idx="304">
                  <c:v>-0.57820907341872019</c:v>
                </c:pt>
                <c:pt idx="305">
                  <c:v>-0.58744753228081881</c:v>
                </c:pt>
                <c:pt idx="306">
                  <c:v>-0.59665646646013937</c:v>
                </c:pt>
                <c:pt idx="307">
                  <c:v>-0.60583696464362879</c:v>
                </c:pt>
                <c:pt idx="308">
                  <c:v>-0.61499008337306094</c:v>
                </c:pt>
                <c:pt idx="309">
                  <c:v>-0.62430889825253166</c:v>
                </c:pt>
                <c:pt idx="310">
                  <c:v>-0.63360129573769031</c:v>
                </c:pt>
                <c:pt idx="311">
                  <c:v>-0.64286830326151634</c:v>
                </c:pt>
                <c:pt idx="312">
                  <c:v>-0.65211091752145767</c:v>
                </c:pt>
                <c:pt idx="313">
                  <c:v>-0.66155467900160014</c:v>
                </c:pt>
                <c:pt idx="314">
                  <c:v>-0.67097486540126394</c:v>
                </c:pt>
                <c:pt idx="315">
                  <c:v>-0.68037245404655777</c:v>
                </c:pt>
                <c:pt idx="316">
                  <c:v>-0.68974839250721676</c:v>
                </c:pt>
                <c:pt idx="317">
                  <c:v>-0.69932609726504447</c:v>
                </c:pt>
                <c:pt idx="318">
                  <c:v>-0.70888302718070362</c:v>
                </c:pt>
                <c:pt idx="319">
                  <c:v>-0.71842010824829106</c:v>
                </c:pt>
                <c:pt idx="320">
                  <c:v>-0.72793823773886313</c:v>
                </c:pt>
                <c:pt idx="321">
                  <c:v>-0.73765900811568752</c:v>
                </c:pt>
                <c:pt idx="322">
                  <c:v>-0.74736174783198583</c:v>
                </c:pt>
                <c:pt idx="323">
                  <c:v>-0.75704733069349728</c:v>
                </c:pt>
                <c:pt idx="324">
                  <c:v>-0.76671660285841514</c:v>
                </c:pt>
                <c:pt idx="325">
                  <c:v>-0.77658961406110594</c:v>
                </c:pt>
                <c:pt idx="326">
                  <c:v>-0.78644727022938543</c:v>
                </c:pt>
                <c:pt idx="327">
                  <c:v>-0.7962903924583663</c:v>
                </c:pt>
                <c:pt idx="328">
                  <c:v>-0.80611977530236179</c:v>
                </c:pt>
                <c:pt idx="329">
                  <c:v>-0.81617095759862557</c:v>
                </c:pt>
                <c:pt idx="330">
                  <c:v>-0.82620933942993147</c:v>
                </c:pt>
                <c:pt idx="331">
                  <c:v>-0.83623569275430554</c:v>
                </c:pt>
                <c:pt idx="332">
                  <c:v>-0.84625076394937759</c:v>
                </c:pt>
                <c:pt idx="333">
                  <c:v>-0.85647228908765183</c:v>
                </c:pt>
                <c:pt idx="334">
                  <c:v>-0.86668353408953791</c:v>
                </c:pt>
                <c:pt idx="335">
                  <c:v>-0.87688521752651227</c:v>
                </c:pt>
                <c:pt idx="336">
                  <c:v>-0.88707803354641479</c:v>
                </c:pt>
                <c:pt idx="337">
                  <c:v>-0.89751217830451047</c:v>
                </c:pt>
                <c:pt idx="338">
                  <c:v>-0.90793841549181908</c:v>
                </c:pt>
                <c:pt idx="339">
                  <c:v>-0.91835741691008288</c:v>
                </c:pt>
                <c:pt idx="340">
                  <c:v>-0.92876983080357722</c:v>
                </c:pt>
                <c:pt idx="341">
                  <c:v>-0.9394251728152857</c:v>
                </c:pt>
                <c:pt idx="342">
                  <c:v>-0.95007491148306666</c:v>
                </c:pt>
                <c:pt idx="343">
                  <c:v>-0.96071967087834675</c:v>
                </c:pt>
                <c:pt idx="344">
                  <c:v>-0.97136005242598178</c:v>
                </c:pt>
                <c:pt idx="345">
                  <c:v>-0.98222854797740911</c:v>
                </c:pt>
                <c:pt idx="346">
                  <c:v>-0.99309367309928565</c:v>
                </c:pt>
                <c:pt idx="347">
                  <c:v>-1.0039560009152591</c:v>
                </c:pt>
                <c:pt idx="348">
                  <c:v>-1.0148160829781152</c:v>
                </c:pt>
                <c:pt idx="349">
                  <c:v>-1.0259392711251589</c:v>
                </c:pt>
                <c:pt idx="350">
                  <c:v>-1.0370612080033519</c:v>
                </c:pt>
                <c:pt idx="351">
                  <c:v>-1.0481824207126853</c:v>
                </c:pt>
                <c:pt idx="352">
                  <c:v>-1.0593034156212227</c:v>
                </c:pt>
                <c:pt idx="353">
                  <c:v>-1.0706894781978773</c:v>
                </c:pt>
                <c:pt idx="354">
                  <c:v>-1.0820763230451189</c:v>
                </c:pt>
                <c:pt idx="355">
                  <c:v>-1.0934644304926864</c:v>
                </c:pt>
                <c:pt idx="356">
                  <c:v>-1.1048542610172416</c:v>
                </c:pt>
                <c:pt idx="357">
                  <c:v>-1.1164946552127013</c:v>
                </c:pt>
                <c:pt idx="358">
                  <c:v>-1.1281377599317979</c:v>
                </c:pt>
                <c:pt idx="359">
                  <c:v>-1.13978400648359</c:v>
                </c:pt>
                <c:pt idx="360">
                  <c:v>-1.1514338073400063</c:v>
                </c:pt>
                <c:pt idx="361">
                  <c:v>-1.1633694207243004</c:v>
                </c:pt>
                <c:pt idx="362">
                  <c:v>-1.175309580379063</c:v>
                </c:pt>
                <c:pt idx="363">
                  <c:v>-1.1872546721265991</c:v>
                </c:pt>
                <c:pt idx="364">
                  <c:v>-1.1992050637776028</c:v>
                </c:pt>
                <c:pt idx="365">
                  <c:v>-1.2114268623391689</c:v>
                </c:pt>
                <c:pt idx="366">
                  <c:v>-1.2236549212645456</c:v>
                </c:pt>
                <c:pt idx="367">
                  <c:v>-1.2358895790584112</c:v>
                </c:pt>
                <c:pt idx="368">
                  <c:v>-1.2481311571660325</c:v>
                </c:pt>
                <c:pt idx="369">
                  <c:v>-1.2606796166889649</c:v>
                </c:pt>
                <c:pt idx="370">
                  <c:v>-1.2732359698098343</c:v>
                </c:pt>
                <c:pt idx="371">
                  <c:v>-1.2858005102954737</c:v>
                </c:pt>
                <c:pt idx="372">
                  <c:v>-1.2983735156481804</c:v>
                </c:pt>
                <c:pt idx="373">
                  <c:v>-1.3112390232313242</c:v>
                </c:pt>
                <c:pt idx="374">
                  <c:v>-1.3241139189715803</c:v>
                </c:pt>
                <c:pt idx="375">
                  <c:v>-1.3369984505202401</c:v>
                </c:pt>
                <c:pt idx="376">
                  <c:v>-1.3498928501751906</c:v>
                </c:pt>
                <c:pt idx="377">
                  <c:v>-1.3631154738979234</c:v>
                </c:pt>
                <c:pt idx="378">
                  <c:v>-1.3763489048390221</c:v>
                </c:pt>
                <c:pt idx="379">
                  <c:v>-1.3895933463269596</c:v>
                </c:pt>
                <c:pt idx="380">
                  <c:v>-1.4028489871195196</c:v>
                </c:pt>
                <c:pt idx="381">
                  <c:v>-1.4164016208990959</c:v>
                </c:pt>
                <c:pt idx="382">
                  <c:v>-1.4299662951460232</c:v>
                </c:pt>
                <c:pt idx="383">
                  <c:v>-1.4435431674114674</c:v>
                </c:pt>
                <c:pt idx="384">
                  <c:v>-1.4571323816308559</c:v>
                </c:pt>
                <c:pt idx="385">
                  <c:v>-1.47107132068215</c:v>
                </c:pt>
                <c:pt idx="386">
                  <c:v>-1.4850234854416722</c:v>
                </c:pt>
                <c:pt idx="387">
                  <c:v>-1.4989889896340156</c:v>
                </c:pt>
                <c:pt idx="388">
                  <c:v>-1.5129679341458979</c:v>
                </c:pt>
                <c:pt idx="389">
                  <c:v>-1.5272820387147252</c:v>
                </c:pt>
                <c:pt idx="390">
                  <c:v>-1.5416103828489147</c:v>
                </c:pt>
                <c:pt idx="391">
                  <c:v>-1.5559530360471288</c:v>
                </c:pt>
                <c:pt idx="392">
                  <c:v>-1.5703100558437757</c:v>
                </c:pt>
                <c:pt idx="393">
                  <c:v>-1.5850044167273414</c:v>
                </c:pt>
                <c:pt idx="394">
                  <c:v>-1.5997138821793209</c:v>
                </c:pt>
                <c:pt idx="395">
                  <c:v>-1.6144384779682519</c:v>
                </c:pt>
                <c:pt idx="396">
                  <c:v>-1.6291782187929968</c:v>
                </c:pt>
                <c:pt idx="397">
                  <c:v>-1.6442915082685947</c:v>
                </c:pt>
                <c:pt idx="398">
                  <c:v>-1.6594206846602624</c:v>
                </c:pt>
                <c:pt idx="399">
                  <c:v>-1.6745657305982384</c:v>
                </c:pt>
                <c:pt idx="400">
                  <c:v>-1.6897266184628681</c:v>
                </c:pt>
                <c:pt idx="401">
                  <c:v>-1.7052460818809336</c:v>
                </c:pt>
                <c:pt idx="402">
                  <c:v>-1.720782021182081</c:v>
                </c:pt>
                <c:pt idx="403">
                  <c:v>-1.7363343764142565</c:v>
                </c:pt>
                <c:pt idx="404">
                  <c:v>-1.7519030782695169</c:v>
                </c:pt>
                <c:pt idx="405">
                  <c:v>-1.7678494817732924</c:v>
                </c:pt>
                <c:pt idx="406">
                  <c:v>-1.7838128234897119</c:v>
                </c:pt>
                <c:pt idx="407">
                  <c:v>-1.7997930014759087</c:v>
                </c:pt>
                <c:pt idx="408">
                  <c:v>-1.8157899053076496</c:v>
                </c:pt>
                <c:pt idx="409">
                  <c:v>-1.8321836573883756</c:v>
                </c:pt>
                <c:pt idx="410">
                  <c:v>-1.8485946789251293</c:v>
                </c:pt>
                <c:pt idx="411">
                  <c:v>-1.8650228264192947</c:v>
                </c:pt>
                <c:pt idx="412">
                  <c:v>-1.8814679487559318</c:v>
                </c:pt>
                <c:pt idx="413">
                  <c:v>-1.8983117112831105</c:v>
                </c:pt>
                <c:pt idx="414">
                  <c:v>-1.9151729019743549</c:v>
                </c:pt>
                <c:pt idx="415">
                  <c:v>-1.9320513366834582</c:v>
                </c:pt>
                <c:pt idx="416">
                  <c:v>-1.9489468245390595</c:v>
                </c:pt>
                <c:pt idx="417">
                  <c:v>-1.9662599723714833</c:v>
                </c:pt>
                <c:pt idx="418">
                  <c:v>-1.9835905660028175</c:v>
                </c:pt>
                <c:pt idx="419">
                  <c:v>-2.00093838114491</c:v>
                </c:pt>
                <c:pt idx="420">
                  <c:v>-2.0183031876727711</c:v>
                </c:pt>
                <c:pt idx="421">
                  <c:v>-2.0360696402674709</c:v>
                </c:pt>
                <c:pt idx="422">
                  <c:v>-2.0538533413782831</c:v>
                </c:pt>
                <c:pt idx="423">
                  <c:v>-2.0716540285981115</c:v>
                </c:pt>
                <c:pt idx="424">
                  <c:v>-2.0894714346131797</c:v>
                </c:pt>
                <c:pt idx="425">
                  <c:v>-2.1077443176440682</c:v>
                </c:pt>
                <c:pt idx="426">
                  <c:v>-2.1260341698326117</c:v>
                </c:pt>
                <c:pt idx="427">
                  <c:v>-2.1443406897501198</c:v>
                </c:pt>
                <c:pt idx="428">
                  <c:v>-2.1626635719545253</c:v>
                </c:pt>
                <c:pt idx="429">
                  <c:v>-2.1814254938070166</c:v>
                </c:pt>
                <c:pt idx="430">
                  <c:v>-2.2002038828401362</c:v>
                </c:pt>
                <c:pt idx="431">
                  <c:v>-2.2189984009724522</c:v>
                </c:pt>
                <c:pt idx="432">
                  <c:v>-2.2378087070411175</c:v>
                </c:pt>
                <c:pt idx="433">
                  <c:v>-2.2570588746059621</c:v>
                </c:pt>
                <c:pt idx="434">
                  <c:v>-2.2763248196345067</c:v>
                </c:pt>
                <c:pt idx="435">
                  <c:v>-2.2956061692722503</c:v>
                </c:pt>
                <c:pt idx="436">
                  <c:v>-2.3149025485269354</c:v>
                </c:pt>
                <c:pt idx="437">
                  <c:v>-2.3346748096287988</c:v>
                </c:pt>
                <c:pt idx="438">
                  <c:v>-2.3544620252898092</c:v>
                </c:pt>
                <c:pt idx="439">
                  <c:v>-2.3742637878176049</c:v>
                </c:pt>
                <c:pt idx="440">
                  <c:v>-2.394079688322635</c:v>
                </c:pt>
                <c:pt idx="441">
                  <c:v>-2.4143718723944998</c:v>
                </c:pt>
                <c:pt idx="442">
                  <c:v>-2.4346779923962796</c:v>
                </c:pt>
                <c:pt idx="443">
                  <c:v>-2.454997607915546</c:v>
                </c:pt>
                <c:pt idx="444">
                  <c:v>-2.4753302782963829</c:v>
                </c:pt>
                <c:pt idx="445">
                  <c:v>-2.4961393150002626</c:v>
                </c:pt>
                <c:pt idx="446">
                  <c:v>-2.5169610761041286</c:v>
                </c:pt>
                <c:pt idx="447">
                  <c:v>-2.537795090861239</c:v>
                </c:pt>
                <c:pt idx="448">
                  <c:v>-2.5586408892400758</c:v>
                </c:pt>
                <c:pt idx="449">
                  <c:v>-2.5799985649839368</c:v>
                </c:pt>
                <c:pt idx="450">
                  <c:v>-2.6013676022724481</c:v>
                </c:pt>
                <c:pt idx="451">
                  <c:v>-2.6227475001405569</c:v>
                </c:pt>
                <c:pt idx="452">
                  <c:v>-2.6441377593061328</c:v>
                </c:pt>
                <c:pt idx="453">
                  <c:v>-2.6660215098812436</c:v>
                </c:pt>
                <c:pt idx="454">
                  <c:v>-2.6879150454823151</c:v>
                </c:pt>
                <c:pt idx="455">
                  <c:v>-2.7098178389211536</c:v>
                </c:pt>
                <c:pt idx="456">
                  <c:v>-2.7317293656536852</c:v>
                </c:pt>
                <c:pt idx="457">
                  <c:v>-2.7541693896363544</c:v>
                </c:pt>
                <c:pt idx="458">
                  <c:v>-2.776617463057462</c:v>
                </c:pt>
                <c:pt idx="459">
                  <c:v>-2.7990730328545737</c:v>
                </c:pt>
                <c:pt idx="460">
                  <c:v>-2.8215355495814807</c:v>
                </c:pt>
                <c:pt idx="461">
                  <c:v>-2.8445254013433514</c:v>
                </c:pt>
                <c:pt idx="462">
                  <c:v>-2.8675213743253285</c:v>
                </c:pt>
                <c:pt idx="463">
                  <c:v>-2.8905228926968434</c:v>
                </c:pt>
                <c:pt idx="464">
                  <c:v>-2.913529385206667</c:v>
                </c:pt>
                <c:pt idx="465">
                  <c:v>-2.937079651593022</c:v>
                </c:pt>
                <c:pt idx="466">
                  <c:v>-2.9606339325463327</c:v>
                </c:pt>
                <c:pt idx="467">
                  <c:v>-2.9841916314149537</c:v>
                </c:pt>
                <c:pt idx="468">
                  <c:v>-3.0077521570885852</c:v>
                </c:pt>
                <c:pt idx="469">
                  <c:v>-3.0318545511188137</c:v>
                </c:pt>
                <c:pt idx="470">
                  <c:v>-3.0559586699558139</c:v>
                </c:pt>
                <c:pt idx="471">
                  <c:v>-3.0800638995986467</c:v>
                </c:pt>
                <c:pt idx="472">
                  <c:v>-3.1041696325279196</c:v>
                </c:pt>
                <c:pt idx="473">
                  <c:v>-3.1288509186402154</c:v>
                </c:pt>
                <c:pt idx="474">
                  <c:v>-3.1535314645558445</c:v>
                </c:pt>
                <c:pt idx="475">
                  <c:v>-3.1782106398086145</c:v>
                </c:pt>
                <c:pt idx="476">
                  <c:v>-3.2028878213667062</c:v>
                </c:pt>
                <c:pt idx="477">
                  <c:v>-3.2281378578725266</c:v>
                </c:pt>
                <c:pt idx="478">
                  <c:v>-3.2533845105952879</c:v>
                </c:pt>
                <c:pt idx="479">
                  <c:v>-3.2786271364056621</c:v>
                </c:pt>
                <c:pt idx="480">
                  <c:v>-3.303865100530516</c:v>
                </c:pt>
                <c:pt idx="481">
                  <c:v>-3.3296728138029734</c:v>
                </c:pt>
                <c:pt idx="482">
                  <c:v>-3.3554743341444726</c:v>
                </c:pt>
                <c:pt idx="483">
                  <c:v>-3.3812690096851461</c:v>
                </c:pt>
                <c:pt idx="484">
                  <c:v>-3.4070561977927576</c:v>
                </c:pt>
                <c:pt idx="485">
                  <c:v>-3.4334275805500574</c:v>
                </c:pt>
                <c:pt idx="486">
                  <c:v>-3.4597897969326525</c:v>
                </c:pt>
                <c:pt idx="487">
                  <c:v>-3.4861421889929458</c:v>
                </c:pt>
                <c:pt idx="488">
                  <c:v>-3.5124841088807579</c:v>
                </c:pt>
                <c:pt idx="489">
                  <c:v>-3.5394421289476377</c:v>
                </c:pt>
                <c:pt idx="490">
                  <c:v>-3.5663878298551976</c:v>
                </c:pt>
                <c:pt idx="491">
                  <c:v>-3.5933205490644871</c:v>
                </c:pt>
                <c:pt idx="492">
                  <c:v>-3.6202396349975725</c:v>
                </c:pt>
                <c:pt idx="493">
                  <c:v>-3.6477703812804463</c:v>
                </c:pt>
                <c:pt idx="494">
                  <c:v>-3.6752855069174646</c:v>
                </c:pt>
                <c:pt idx="495">
                  <c:v>-3.7027843490746455</c:v>
                </c:pt>
                <c:pt idx="496">
                  <c:v>-3.7302662566856233</c:v>
                </c:pt>
                <c:pt idx="497">
                  <c:v>-3.7583728154879132</c:v>
                </c:pt>
                <c:pt idx="498">
                  <c:v>-3.7864602959171951</c:v>
                </c:pt>
                <c:pt idx="499">
                  <c:v>-3.8145280379017188</c:v>
                </c:pt>
                <c:pt idx="500">
                  <c:v>-3.8425753939100353</c:v>
                </c:pt>
                <c:pt idx="501">
                  <c:v>-3.8712598674978729</c:v>
                </c:pt>
                <c:pt idx="502">
                  <c:v>-3.8999216532653658</c:v>
                </c:pt>
                <c:pt idx="503">
                  <c:v>-3.9285600970733277</c:v>
                </c:pt>
                <c:pt idx="504">
                  <c:v>-3.9571745580569386</c:v>
                </c:pt>
                <c:pt idx="505">
                  <c:v>-3.9864203333298192</c:v>
                </c:pt>
                <c:pt idx="506">
                  <c:v>-4.0156396975134161</c:v>
                </c:pt>
                <c:pt idx="507">
                  <c:v>-4.044832006831415</c:v>
                </c:pt>
                <c:pt idx="508">
                  <c:v>-4.0739966314386837</c:v>
                </c:pt>
                <c:pt idx="509">
                  <c:v>-4.1038040421376456</c:v>
                </c:pt>
                <c:pt idx="510">
                  <c:v>-4.1335811878210524</c:v>
                </c:pt>
                <c:pt idx="511">
                  <c:v>-4.1633274382971361</c:v>
                </c:pt>
                <c:pt idx="512">
                  <c:v>-4.193042177912452</c:v>
                </c:pt>
                <c:pt idx="513">
                  <c:v>-4.2234282075401399</c:v>
                </c:pt>
                <c:pt idx="514">
                  <c:v>-4.2537799544797412</c:v>
                </c:pt>
                <c:pt idx="515">
                  <c:v>-4.2840968043466106</c:v>
                </c:pt>
                <c:pt idx="516">
                  <c:v>-4.3143781578821621</c:v>
                </c:pt>
                <c:pt idx="517">
                  <c:v>-4.3453235260928267</c:v>
                </c:pt>
                <c:pt idx="518">
                  <c:v>-4.3762305129807668</c:v>
                </c:pt>
                <c:pt idx="519">
                  <c:v>-4.4070985244294683</c:v>
                </c:pt>
                <c:pt idx="520">
                  <c:v>-4.4379269819426002</c:v>
                </c:pt>
                <c:pt idx="521">
                  <c:v>-4.4694292288385657</c:v>
                </c:pt>
                <c:pt idx="522">
                  <c:v>-4.5008888886253811</c:v>
                </c:pt>
                <c:pt idx="523">
                  <c:v>-4.5323053907903468</c:v>
                </c:pt>
                <c:pt idx="524">
                  <c:v>-4.5636781808718831</c:v>
                </c:pt>
                <c:pt idx="525">
                  <c:v>-4.5957339547944684</c:v>
                </c:pt>
                <c:pt idx="526">
                  <c:v>-4.6277428379547194</c:v>
                </c:pt>
                <c:pt idx="527">
                  <c:v>-4.6597042867771918</c:v>
                </c:pt>
                <c:pt idx="528">
                  <c:v>-4.6916177741011866</c:v>
                </c:pt>
                <c:pt idx="529">
                  <c:v>-4.7242228547512504</c:v>
                </c:pt>
                <c:pt idx="530">
                  <c:v>-4.7567766530661384</c:v>
                </c:pt>
                <c:pt idx="531">
                  <c:v>-4.7892786557179328</c:v>
                </c:pt>
                <c:pt idx="532">
                  <c:v>-4.8217283660860168</c:v>
                </c:pt>
                <c:pt idx="533">
                  <c:v>-4.8548947911667524</c:v>
                </c:pt>
                <c:pt idx="534">
                  <c:v>-4.8880054071317609</c:v>
                </c:pt>
                <c:pt idx="535">
                  <c:v>-4.9210597334359774</c:v>
                </c:pt>
                <c:pt idx="536">
                  <c:v>-4.9540573064942715</c:v>
                </c:pt>
                <c:pt idx="537">
                  <c:v>-4.9877448841048198</c:v>
                </c:pt>
                <c:pt idx="538">
                  <c:v>-5.0213721742538109</c:v>
                </c:pt>
                <c:pt idx="539">
                  <c:v>-5.0549387338736462</c:v>
                </c:pt>
                <c:pt idx="540">
                  <c:v>-5.088444136961801</c:v>
                </c:pt>
                <c:pt idx="541">
                  <c:v>-5.1226802914743574</c:v>
                </c:pt>
                <c:pt idx="542">
                  <c:v>-5.1568515043497918</c:v>
                </c:pt>
                <c:pt idx="543">
                  <c:v>-5.1909573717594091</c:v>
                </c:pt>
                <c:pt idx="544">
                  <c:v>-5.2249975070335095</c:v>
                </c:pt>
                <c:pt idx="545">
                  <c:v>-5.259757732678624</c:v>
                </c:pt>
                <c:pt idx="546">
                  <c:v>-5.2944483800562931</c:v>
                </c:pt>
                <c:pt idx="547">
                  <c:v>-5.3290690882712619</c:v>
                </c:pt>
                <c:pt idx="548">
                  <c:v>-5.3636195135643323</c:v>
                </c:pt>
                <c:pt idx="549">
                  <c:v>-5.3988957123880885</c:v>
                </c:pt>
                <c:pt idx="550">
                  <c:v>-5.4340976658308158</c:v>
                </c:pt>
                <c:pt idx="551">
                  <c:v>-5.4692250588022109</c:v>
                </c:pt>
                <c:pt idx="552">
                  <c:v>-5.5042775932417767</c:v>
                </c:pt>
                <c:pt idx="553">
                  <c:v>-5.5400774652660125</c:v>
                </c:pt>
                <c:pt idx="554">
                  <c:v>-5.5757983338329078</c:v>
                </c:pt>
                <c:pt idx="555">
                  <c:v>-5.6114399320228037</c:v>
                </c:pt>
                <c:pt idx="556">
                  <c:v>-5.6470020097862719</c:v>
                </c:pt>
                <c:pt idx="557">
                  <c:v>-5.7195457299569927</c:v>
                </c:pt>
                <c:pt idx="558">
                  <c:v>-5.791753511211243</c:v>
                </c:pt>
                <c:pt idx="559">
                  <c:v>-5.8652672198039548</c:v>
                </c:pt>
                <c:pt idx="560">
                  <c:v>-5.9384264446681687</c:v>
                </c:pt>
                <c:pt idx="561">
                  <c:v>-6.0129530804694244</c:v>
                </c:pt>
                <c:pt idx="562">
                  <c:v>-6.0871061330878575</c:v>
                </c:pt>
                <c:pt idx="563">
                  <c:v>-6.1624640668113422</c:v>
                </c:pt>
                <c:pt idx="564">
                  <c:v>-6.2374310641455217</c:v>
                </c:pt>
                <c:pt idx="565">
                  <c:v>-6.3138819249757159</c:v>
                </c:pt>
                <c:pt idx="566">
                  <c:v>-6.3899216968032935</c:v>
                </c:pt>
                <c:pt idx="567">
                  <c:v>-6.4674051983895477</c:v>
                </c:pt>
                <c:pt idx="568">
                  <c:v>-6.5444579445440807</c:v>
                </c:pt>
                <c:pt idx="569">
                  <c:v>-6.6226087615684515</c:v>
                </c:pt>
                <c:pt idx="570">
                  <c:v>-6.7003132276036759</c:v>
                </c:pt>
                <c:pt idx="571">
                  <c:v>-6.779687162044036</c:v>
                </c:pt>
                <c:pt idx="572">
                  <c:v>-6.8585927725785361</c:v>
                </c:pt>
                <c:pt idx="573">
                  <c:v>-6.9385242286004907</c:v>
                </c:pt>
                <c:pt idx="574">
                  <c:v>-7.0179732190384208</c:v>
                </c:pt>
                <c:pt idx="575">
                  <c:v>-7.0990059058346535</c:v>
                </c:pt>
                <c:pt idx="576">
                  <c:v>-7.1795355042450009</c:v>
                </c:pt>
                <c:pt idx="577">
                  <c:v>-7.5149577263326002</c:v>
                </c:pt>
                <c:pt idx="578">
                  <c:v>-7.8416575155485173</c:v>
                </c:pt>
                <c:pt idx="579">
                  <c:v>-8.5284541546526942</c:v>
                </c:pt>
                <c:pt idx="580">
                  <c:v>-9.2393589108419736</c:v>
                </c:pt>
                <c:pt idx="581">
                  <c:v>-9.9719378274391932</c:v>
                </c:pt>
                <c:pt idx="582">
                  <c:v>-10.725573274718375</c:v>
                </c:pt>
                <c:pt idx="583">
                  <c:v>-11.499029782923163</c:v>
                </c:pt>
                <c:pt idx="584">
                  <c:v>-12.292683765219241</c:v>
                </c:pt>
                <c:pt idx="585">
                  <c:v>-13.106413232653013</c:v>
                </c:pt>
                <c:pt idx="586">
                  <c:v>-13.941262599832388</c:v>
                </c:pt>
                <c:pt idx="587">
                  <c:v>-14.799314850968216</c:v>
                </c:pt>
                <c:pt idx="588">
                  <c:v>-15.682166323565504</c:v>
                </c:pt>
                <c:pt idx="589">
                  <c:v>-16.593860549969815</c:v>
                </c:pt>
                <c:pt idx="590">
                  <c:v>-17.538485899453779</c:v>
                </c:pt>
                <c:pt idx="591">
                  <c:v>-18.521819676180364</c:v>
                </c:pt>
                <c:pt idx="592">
                  <c:v>-19.550910246596523</c:v>
                </c:pt>
                <c:pt idx="593">
                  <c:v>-20.634971463829856</c:v>
                </c:pt>
                <c:pt idx="594">
                  <c:v>-21.784530854648668</c:v>
                </c:pt>
                <c:pt idx="595">
                  <c:v>-23.012605213341022</c:v>
                </c:pt>
                <c:pt idx="596">
                  <c:v>-24.333536560529975</c:v>
                </c:pt>
                <c:pt idx="597">
                  <c:v>-25.763460096341284</c:v>
                </c:pt>
                <c:pt idx="598">
                  <c:v>-27.318057148126439</c:v>
                </c:pt>
                <c:pt idx="599">
                  <c:v>-29.012349853261249</c:v>
                </c:pt>
                <c:pt idx="600">
                  <c:v>-30.857372285475687</c:v>
                </c:pt>
              </c:numCache>
            </c:numRef>
          </c:yVal>
          <c:smooth val="0"/>
          <c:extLst>
            <c:ext xmlns:c16="http://schemas.microsoft.com/office/drawing/2014/chart" uri="{C3380CC4-5D6E-409C-BE32-E72D297353CC}">
              <c16:uniqueId val="{00000000-5314-496C-84FB-BC9D9C42BA7D}"/>
            </c:ext>
          </c:extLst>
        </c:ser>
        <c:dLbls>
          <c:showLegendKey val="0"/>
          <c:showVal val="0"/>
          <c:showCatName val="0"/>
          <c:showSerName val="0"/>
          <c:showPercent val="0"/>
          <c:showBubbleSize val="0"/>
        </c:dLbls>
        <c:axId val="184325248"/>
        <c:axId val="184327168"/>
      </c:scatterChart>
      <c:scatterChart>
        <c:scatterStyle val="lineMarker"/>
        <c:varyColors val="0"/>
        <c:ser>
          <c:idx val="1"/>
          <c:order val="1"/>
          <c:tx>
            <c:strRef>
              <c:f>'Ch2 Stability Calculations'!$S$12</c:f>
              <c:strCache>
                <c:ptCount val="1"/>
                <c:pt idx="0">
                  <c:v>Phase Margin (°)</c:v>
                </c:pt>
              </c:strCache>
            </c:strRef>
          </c:tx>
          <c:spPr>
            <a:ln w="25400">
              <a:solidFill>
                <a:srgbClr val="0000FF"/>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-82.125787975774486</c:v>
                </c:pt>
                <c:pt idx="1">
                  <c:v>-82.809645070463645</c:v>
                </c:pt>
                <c:pt idx="2">
                  <c:v>-83.434908569844936</c:v>
                </c:pt>
                <c:pt idx="3">
                  <c:v>-84.006324796915024</c:v>
                </c:pt>
                <c:pt idx="4">
                  <c:v>-84.527985536936043</c:v>
                </c:pt>
                <c:pt idx="5">
                  <c:v>-85.004830121990878</c:v>
                </c:pt>
                <c:pt idx="6">
                  <c:v>-85.439929463428115</c:v>
                </c:pt>
                <c:pt idx="7">
                  <c:v>-85.837076955695068</c:v>
                </c:pt>
                <c:pt idx="8">
                  <c:v>-86.199212375498078</c:v>
                </c:pt>
                <c:pt idx="9">
                  <c:v>-86.529576402086107</c:v>
                </c:pt>
                <c:pt idx="10">
                  <c:v>-86.830690991994445</c:v>
                </c:pt>
                <c:pt idx="11">
                  <c:v>-87.105102024748774</c:v>
                </c:pt>
                <c:pt idx="12">
                  <c:v>-87.355219926923056</c:v>
                </c:pt>
                <c:pt idx="13">
                  <c:v>-87.582889901545613</c:v>
                </c:pt>
                <c:pt idx="14">
                  <c:v>-87.790204383387348</c:v>
                </c:pt>
                <c:pt idx="15">
                  <c:v>-87.978814343823387</c:v>
                </c:pt>
                <c:pt idx="16">
                  <c:v>-88.150321390720407</c:v>
                </c:pt>
                <c:pt idx="17">
                  <c:v>-88.306147287532937</c:v>
                </c:pt>
                <c:pt idx="18">
                  <c:v>-88.447649996749433</c:v>
                </c:pt>
                <c:pt idx="19">
                  <c:v>-88.57598414829971</c:v>
                </c:pt>
                <c:pt idx="20">
                  <c:v>-88.692259664349223</c:v>
                </c:pt>
                <c:pt idx="21">
                  <c:v>-88.797435890412672</c:v>
                </c:pt>
                <c:pt idx="22">
                  <c:v>-88.892425135136605</c:v>
                </c:pt>
                <c:pt idx="23">
                  <c:v>-88.978008216934072</c:v>
                </c:pt>
                <c:pt idx="24">
                  <c:v>-89.054931979040191</c:v>
                </c:pt>
                <c:pt idx="25">
                  <c:v>-89.123835031097073</c:v>
                </c:pt>
                <c:pt idx="26">
                  <c:v>-89.185315512628833</c:v>
                </c:pt>
                <c:pt idx="27">
                  <c:v>-89.239874068114233</c:v>
                </c:pt>
                <c:pt idx="28">
                  <c:v>-89.287977359714034</c:v>
                </c:pt>
                <c:pt idx="29">
                  <c:v>-89.33001032756367</c:v>
                </c:pt>
                <c:pt idx="30">
                  <c:v>-89.366397993052317</c:v>
                </c:pt>
                <c:pt idx="31">
                  <c:v>-89.39739287864785</c:v>
                </c:pt>
                <c:pt idx="32">
                  <c:v>-89.423279999032843</c:v>
                </c:pt>
                <c:pt idx="33">
                  <c:v>-89.444261568045832</c:v>
                </c:pt>
                <c:pt idx="34">
                  <c:v>-89.460532511454815</c:v>
                </c:pt>
                <c:pt idx="35">
                  <c:v>-89.472220882772817</c:v>
                </c:pt>
                <c:pt idx="36">
                  <c:v>-89.479429693145221</c:v>
                </c:pt>
                <c:pt idx="37">
                  <c:v>-89.482221443876227</c:v>
                </c:pt>
                <c:pt idx="38">
                  <c:v>-89.480617411513506</c:v>
                </c:pt>
                <c:pt idx="39">
                  <c:v>-89.474603976537708</c:v>
                </c:pt>
                <c:pt idx="40">
                  <c:v>-89.464130913182117</c:v>
                </c:pt>
                <c:pt idx="41">
                  <c:v>-89.449108966922225</c:v>
                </c:pt>
                <c:pt idx="42">
                  <c:v>-89.429413699283856</c:v>
                </c:pt>
                <c:pt idx="43">
                  <c:v>-89.404872081805976</c:v>
                </c:pt>
                <c:pt idx="44">
                  <c:v>-89.375282151808548</c:v>
                </c:pt>
                <c:pt idx="45">
                  <c:v>-89.340387065111315</c:v>
                </c:pt>
                <c:pt idx="46">
                  <c:v>-89.299898096364146</c:v>
                </c:pt>
                <c:pt idx="47">
                  <c:v>-89.253463163862719</c:v>
                </c:pt>
                <c:pt idx="48">
                  <c:v>-89.200700350459115</c:v>
                </c:pt>
                <c:pt idx="49">
                  <c:v>-89.141149073285945</c:v>
                </c:pt>
                <c:pt idx="50">
                  <c:v>-89.074313021902356</c:v>
                </c:pt>
                <c:pt idx="51">
                  <c:v>-88.999608386577648</c:v>
                </c:pt>
                <c:pt idx="52">
                  <c:v>-88.9164253178173</c:v>
                </c:pt>
                <c:pt idx="53">
                  <c:v>-88.824059037372095</c:v>
                </c:pt>
                <c:pt idx="54">
                  <c:v>-88.72179742788434</c:v>
                </c:pt>
                <c:pt idx="55">
                  <c:v>-88.608598453346261</c:v>
                </c:pt>
                <c:pt idx="56">
                  <c:v>-88.483655606191022</c:v>
                </c:pt>
                <c:pt idx="57">
                  <c:v>-88.345832588285205</c:v>
                </c:pt>
                <c:pt idx="58">
                  <c:v>-88.194071147126778</c:v>
                </c:pt>
                <c:pt idx="59">
                  <c:v>-88.026980858822057</c:v>
                </c:pt>
                <c:pt idx="60">
                  <c:v>-87.843252837865847</c:v>
                </c:pt>
                <c:pt idx="61">
                  <c:v>-87.641330566555681</c:v>
                </c:pt>
                <c:pt idx="62">
                  <c:v>-87.419410469197516</c:v>
                </c:pt>
                <c:pt idx="63">
                  <c:v>-87.175862301321857</c:v>
                </c:pt>
                <c:pt idx="64">
                  <c:v>-86.908480847441311</c:v>
                </c:pt>
                <c:pt idx="65">
                  <c:v>-86.615158706636095</c:v>
                </c:pt>
                <c:pt idx="66">
                  <c:v>-86.29347404882806</c:v>
                </c:pt>
                <c:pt idx="67">
                  <c:v>-85.940865449130797</c:v>
                </c:pt>
                <c:pt idx="68">
                  <c:v>-85.554390587807319</c:v>
                </c:pt>
                <c:pt idx="69">
                  <c:v>-85.131074043472509</c:v>
                </c:pt>
                <c:pt idx="70">
                  <c:v>-84.667505765275465</c:v>
                </c:pt>
                <c:pt idx="71">
                  <c:v>-84.160197413862946</c:v>
                </c:pt>
                <c:pt idx="72">
                  <c:v>-83.605193699620884</c:v>
                </c:pt>
                <c:pt idx="73">
                  <c:v>-82.998525815734084</c:v>
                </c:pt>
                <c:pt idx="74">
                  <c:v>-82.335677834305002</c:v>
                </c:pt>
                <c:pt idx="75">
                  <c:v>-81.61214617059079</c:v>
                </c:pt>
                <c:pt idx="76">
                  <c:v>-80.822941487010766</c:v>
                </c:pt>
                <c:pt idx="77">
                  <c:v>-79.963345351572841</c:v>
                </c:pt>
                <c:pt idx="78">
                  <c:v>-79.028298862887738</c:v>
                </c:pt>
                <c:pt idx="79">
                  <c:v>-78.013444427066759</c:v>
                </c:pt>
                <c:pt idx="80">
                  <c:v>-76.912142536278182</c:v>
                </c:pt>
                <c:pt idx="81">
                  <c:v>-75.721285100691787</c:v>
                </c:pt>
                <c:pt idx="82">
                  <c:v>-74.436039603882378</c:v>
                </c:pt>
                <c:pt idx="83">
                  <c:v>-73.054101571224408</c:v>
                </c:pt>
                <c:pt idx="84">
                  <c:v>-71.572287219707505</c:v>
                </c:pt>
                <c:pt idx="85">
                  <c:v>-69.990753988984281</c:v>
                </c:pt>
                <c:pt idx="86">
                  <c:v>-68.310512266744723</c:v>
                </c:pt>
                <c:pt idx="87">
                  <c:v>-66.534089322636717</c:v>
                </c:pt>
                <c:pt idx="88">
                  <c:v>-64.669347609934306</c:v>
                </c:pt>
                <c:pt idx="89">
                  <c:v>-62.724002706465086</c:v>
                </c:pt>
                <c:pt idx="90">
                  <c:v>-60.711224562998495</c:v>
                </c:pt>
                <c:pt idx="91">
                  <c:v>-58.646673496380522</c:v>
                </c:pt>
                <c:pt idx="92">
                  <c:v>-56.549729686920116</c:v>
                </c:pt>
                <c:pt idx="93">
                  <c:v>-54.441808392209538</c:v>
                </c:pt>
                <c:pt idx="94">
                  <c:v>-53.916201049858401</c:v>
                </c:pt>
                <c:pt idx="95">
                  <c:v>-53.652219050221518</c:v>
                </c:pt>
                <c:pt idx="96">
                  <c:v>-53.391621337821007</c:v>
                </c:pt>
                <c:pt idx="97">
                  <c:v>-53.128452746863118</c:v>
                </c:pt>
                <c:pt idx="98">
                  <c:v>-52.868760492723155</c:v>
                </c:pt>
                <c:pt idx="99">
                  <c:v>-52.606545690414322</c:v>
                </c:pt>
                <c:pt idx="100">
                  <c:v>-52.347899770057587</c:v>
                </c:pt>
                <c:pt idx="101">
                  <c:v>-52.086984689595106</c:v>
                </c:pt>
                <c:pt idx="102">
                  <c:v>-51.82972576628076</c:v>
                </c:pt>
                <c:pt idx="103">
                  <c:v>-51.570070129455161</c:v>
                </c:pt>
                <c:pt idx="104">
                  <c:v>-51.31416321989358</c:v>
                </c:pt>
                <c:pt idx="105">
                  <c:v>-51.05612406183802</c:v>
                </c:pt>
                <c:pt idx="106">
                  <c:v>-50.801920227194152</c:v>
                </c:pt>
                <c:pt idx="107">
                  <c:v>-50.545842451956922</c:v>
                </c:pt>
                <c:pt idx="108">
                  <c:v>-50.293680342577005</c:v>
                </c:pt>
                <c:pt idx="109">
                  <c:v>-50.039724397406737</c:v>
                </c:pt>
                <c:pt idx="110">
                  <c:v>-49.789763374722412</c:v>
                </c:pt>
                <c:pt idx="111">
                  <c:v>-49.537931697712565</c:v>
                </c:pt>
                <c:pt idx="112">
                  <c:v>-49.290178165624525</c:v>
                </c:pt>
                <c:pt idx="113">
                  <c:v>-49.040823390456673</c:v>
                </c:pt>
                <c:pt idx="114">
                  <c:v>-48.795622743731151</c:v>
                </c:pt>
                <c:pt idx="115">
                  <c:v>-48.548926783688437</c:v>
                </c:pt>
                <c:pt idx="116">
                  <c:v>-48.306458841251221</c:v>
                </c:pt>
                <c:pt idx="117">
                  <c:v>-48.062608958338529</c:v>
                </c:pt>
                <c:pt idx="118">
                  <c:v>-47.82305856094866</c:v>
                </c:pt>
                <c:pt idx="119">
                  <c:v>-47.582391053956712</c:v>
                </c:pt>
                <c:pt idx="120">
                  <c:v>-47.346086507727527</c:v>
                </c:pt>
                <c:pt idx="121">
                  <c:v>-47.108780714580149</c:v>
                </c:pt>
                <c:pt idx="122">
                  <c:v>-46.875898485812783</c:v>
                </c:pt>
                <c:pt idx="123">
                  <c:v>-46.642002467106835</c:v>
                </c:pt>
                <c:pt idx="124">
                  <c:v>-46.412592618159714</c:v>
                </c:pt>
                <c:pt idx="125">
                  <c:v>-46.182435020644533</c:v>
                </c:pt>
                <c:pt idx="126">
                  <c:v>-45.956817489528511</c:v>
                </c:pt>
                <c:pt idx="127">
                  <c:v>-45.730583424159235</c:v>
                </c:pt>
                <c:pt idx="128">
                  <c:v>-45.50893965417275</c:v>
                </c:pt>
                <c:pt idx="129">
                  <c:v>-45.286814495606272</c:v>
                </c:pt>
                <c:pt idx="130">
                  <c:v>-45.069325964218962</c:v>
                </c:pt>
                <c:pt idx="131">
                  <c:v>-44.851494536892027</c:v>
                </c:pt>
                <c:pt idx="132">
                  <c:v>-44.744338847494063</c:v>
                </c:pt>
                <c:pt idx="133">
                  <c:v>-44.638341961203899</c:v>
                </c:pt>
                <c:pt idx="134">
                  <c:v>-44.531014519647378</c:v>
                </c:pt>
                <c:pt idx="135">
                  <c:v>-44.42487883442432</c:v>
                </c:pt>
                <c:pt idx="136">
                  <c:v>-44.319923524917911</c:v>
                </c:pt>
                <c:pt idx="137">
                  <c:v>-44.216137311907893</c:v>
                </c:pt>
                <c:pt idx="138">
                  <c:v>-44.111192319394824</c:v>
                </c:pt>
                <c:pt idx="139">
                  <c:v>-44.007446573654484</c:v>
                </c:pt>
                <c:pt idx="140">
                  <c:v>-43.904888337653261</c:v>
                </c:pt>
                <c:pt idx="141">
                  <c:v>-43.803505984421918</c:v>
                </c:pt>
                <c:pt idx="142">
                  <c:v>-43.700925524726479</c:v>
                </c:pt>
                <c:pt idx="143">
                  <c:v>-43.599553070587454</c:v>
                </c:pt>
                <c:pt idx="144">
                  <c:v>-43.499376504336915</c:v>
                </c:pt>
                <c:pt idx="145">
                  <c:v>-43.400383827556148</c:v>
                </c:pt>
                <c:pt idx="146">
                  <c:v>-43.300311025377745</c:v>
                </c:pt>
                <c:pt idx="147">
                  <c:v>-43.201452563086619</c:v>
                </c:pt>
                <c:pt idx="148">
                  <c:v>-43.103795973176418</c:v>
                </c:pt>
                <c:pt idx="149">
                  <c:v>-43.007328916380793</c:v>
                </c:pt>
                <c:pt idx="150">
                  <c:v>-42.909849778802624</c:v>
                </c:pt>
                <c:pt idx="151">
                  <c:v>-42.813590093977531</c:v>
                </c:pt>
                <c:pt idx="152">
                  <c:v>-42.718537058849279</c:v>
                </c:pt>
                <c:pt idx="153">
                  <c:v>-42.624678007576975</c:v>
                </c:pt>
                <c:pt idx="154">
                  <c:v>-42.529832866993061</c:v>
                </c:pt>
                <c:pt idx="155">
                  <c:v>-42.436212171503989</c:v>
                </c:pt>
                <c:pt idx="156">
                  <c:v>-42.343802780085163</c:v>
                </c:pt>
                <c:pt idx="157">
                  <c:v>-42.252591698110685</c:v>
                </c:pt>
                <c:pt idx="158">
                  <c:v>-42.160468287544234</c:v>
                </c:pt>
                <c:pt idx="159">
                  <c:v>-42.069572990895395</c:v>
                </c:pt>
                <c:pt idx="160">
                  <c:v>-41.979892346263156</c:v>
                </c:pt>
                <c:pt idx="161">
                  <c:v>-41.891413047240853</c:v>
                </c:pt>
                <c:pt idx="162">
                  <c:v>-41.802134938301236</c:v>
                </c:pt>
                <c:pt idx="163">
                  <c:v>-41.714086205410474</c:v>
                </c:pt>
                <c:pt idx="164">
                  <c:v>-41.627253102130467</c:v>
                </c:pt>
                <c:pt idx="165">
                  <c:v>-41.54162204619054</c:v>
                </c:pt>
                <c:pt idx="166">
                  <c:v>-41.455190477009872</c:v>
                </c:pt>
                <c:pt idx="167">
                  <c:v>-41.369990384697715</c:v>
                </c:pt>
                <c:pt idx="168">
                  <c:v>-41.28600772136393</c:v>
                </c:pt>
                <c:pt idx="169">
                  <c:v>-41.2032286123547</c:v>
                </c:pt>
                <c:pt idx="170">
                  <c:v>-41.119901452350078</c:v>
                </c:pt>
                <c:pt idx="171">
                  <c:v>-41.037801336772304</c:v>
                </c:pt>
                <c:pt idx="172">
                  <c:v>-40.956914026428926</c:v>
                </c:pt>
                <c:pt idx="173">
                  <c:v>-40.87722546270561</c:v>
                </c:pt>
                <c:pt idx="174">
                  <c:v>-40.796757872622933</c:v>
                </c:pt>
                <c:pt idx="175">
                  <c:v>-40.717520880151099</c:v>
                </c:pt>
                <c:pt idx="176">
                  <c:v>-40.639499914044364</c:v>
                </c:pt>
                <c:pt idx="177">
                  <c:v>-40.562680593452257</c:v>
                </c:pt>
                <c:pt idx="178">
                  <c:v>-40.485203764975594</c:v>
                </c:pt>
                <c:pt idx="179">
                  <c:v>-40.40895844399008</c:v>
                </c:pt>
                <c:pt idx="180">
                  <c:v>-40.33392976927226</c:v>
                </c:pt>
                <c:pt idx="181">
                  <c:v>-40.260103079234767</c:v>
                </c:pt>
                <c:pt idx="182">
                  <c:v>-40.18602314035099</c:v>
                </c:pt>
                <c:pt idx="183">
                  <c:v>-40.113163556779512</c:v>
                </c:pt>
                <c:pt idx="184">
                  <c:v>-40.041509394949685</c:v>
                </c:pt>
                <c:pt idx="185">
                  <c:v>-39.97104592630842</c:v>
                </c:pt>
                <c:pt idx="186">
                  <c:v>-39.899873069825119</c:v>
                </c:pt>
                <c:pt idx="187">
                  <c:v>-39.829926305027207</c:v>
                </c:pt>
                <c:pt idx="188">
                  <c:v>-39.761190314796238</c:v>
                </c:pt>
                <c:pt idx="189">
                  <c:v>-39.693649998179744</c:v>
                </c:pt>
                <c:pt idx="190">
                  <c:v>-39.626035449740002</c:v>
                </c:pt>
                <c:pt idx="191">
                  <c:v>-39.559631653830081</c:v>
                </c:pt>
                <c:pt idx="192">
                  <c:v>-39.494423301591411</c:v>
                </c:pt>
                <c:pt idx="193">
                  <c:v>-39.430395304180898</c:v>
                </c:pt>
                <c:pt idx="194">
                  <c:v>-39.365900253384495</c:v>
                </c:pt>
                <c:pt idx="195">
                  <c:v>-39.302616759988062</c:v>
                </c:pt>
                <c:pt idx="196">
                  <c:v>-39.240529218359391</c:v>
                </c:pt>
                <c:pt idx="197">
                  <c:v>-39.179622252576493</c:v>
                </c:pt>
                <c:pt idx="198">
                  <c:v>-39.118585430599367</c:v>
                </c:pt>
                <c:pt idx="199">
                  <c:v>-39.058749708291735</c:v>
                </c:pt>
                <c:pt idx="200">
                  <c:v>-39.000099397991541</c:v>
                </c:pt>
                <c:pt idx="201">
                  <c:v>-38.942619047292744</c:v>
                </c:pt>
                <c:pt idx="202">
                  <c:v>-38.885098984264538</c:v>
                </c:pt>
                <c:pt idx="203">
                  <c:v>-38.828767704727497</c:v>
                </c:pt>
                <c:pt idx="204">
                  <c:v>-38.773609477521966</c:v>
                </c:pt>
                <c:pt idx="205">
                  <c:v>-38.719608811468667</c:v>
                </c:pt>
                <c:pt idx="206">
                  <c:v>-38.665470909199435</c:v>
                </c:pt>
                <c:pt idx="207">
                  <c:v>-38.612515765093207</c:v>
                </c:pt>
                <c:pt idx="208">
                  <c:v>-38.560727480357215</c:v>
                </c:pt>
                <c:pt idx="209">
                  <c:v>-38.510090403410786</c:v>
                </c:pt>
                <c:pt idx="210">
                  <c:v>-38.459253339830823</c:v>
                </c:pt>
                <c:pt idx="211">
                  <c:v>-38.409598503611853</c:v>
                </c:pt>
                <c:pt idx="212">
                  <c:v>-38.361109713282453</c:v>
                </c:pt>
                <c:pt idx="213">
                  <c:v>-38.313771044288764</c:v>
                </c:pt>
                <c:pt idx="214">
                  <c:v>-38.266657236370136</c:v>
                </c:pt>
                <c:pt idx="215">
                  <c:v>-38.220707194120145</c:v>
                </c:pt>
                <c:pt idx="216">
                  <c:v>-38.175904818761609</c:v>
                </c:pt>
                <c:pt idx="217">
                  <c:v>-38.132234270432228</c:v>
                </c:pt>
                <c:pt idx="218">
                  <c:v>-38.088722564916857</c:v>
                </c:pt>
                <c:pt idx="219">
                  <c:v>-38.046362179759356</c:v>
                </c:pt>
                <c:pt idx="220">
                  <c:v>-38.00513697732746</c:v>
                </c:pt>
                <c:pt idx="221">
                  <c:v>-37.965031083410025</c:v>
                </c:pt>
                <c:pt idx="222">
                  <c:v>-37.925171864677083</c:v>
                </c:pt>
                <c:pt idx="223">
                  <c:v>-37.886449688384225</c:v>
                </c:pt>
                <c:pt idx="224">
                  <c:v>-37.848848417418786</c:v>
                </c:pt>
                <c:pt idx="225">
                  <c:v>-37.812352181683387</c:v>
                </c:pt>
                <c:pt idx="226">
                  <c:v>-37.776076741308863</c:v>
                </c:pt>
                <c:pt idx="227">
                  <c:v>-37.740929183417641</c:v>
                </c:pt>
                <c:pt idx="228">
                  <c:v>-37.706893262186092</c:v>
                </c:pt>
                <c:pt idx="229">
                  <c:v>-37.673953004775861</c:v>
                </c:pt>
                <c:pt idx="230">
                  <c:v>-37.609826134831678</c:v>
                </c:pt>
                <c:pt idx="231">
                  <c:v>-37.579421179257515</c:v>
                </c:pt>
                <c:pt idx="232">
                  <c:v>-37.550100408329264</c:v>
                </c:pt>
                <c:pt idx="233">
                  <c:v>-37.521190239161243</c:v>
                </c:pt>
                <c:pt idx="234">
                  <c:v>-37.493383206745428</c:v>
                </c:pt>
                <c:pt idx="235">
                  <c:v>-37.466662980392719</c:v>
                </c:pt>
                <c:pt idx="236">
                  <c:v>-37.441013511334233</c:v>
                </c:pt>
                <c:pt idx="237">
                  <c:v>-37.415930819982037</c:v>
                </c:pt>
                <c:pt idx="238">
                  <c:v>-37.391929898090837</c:v>
                </c:pt>
                <c:pt idx="239">
                  <c:v>-37.36899457156639</c:v>
                </c:pt>
                <c:pt idx="240">
                  <c:v>-37.347108948038176</c:v>
                </c:pt>
                <c:pt idx="241">
                  <c:v>-37.325737696728325</c:v>
                </c:pt>
                <c:pt idx="242">
                  <c:v>-37.305437539096374</c:v>
                </c:pt>
                <c:pt idx="243">
                  <c:v>-37.28619221852302</c:v>
                </c:pt>
                <c:pt idx="244">
                  <c:v>-37.267985765391572</c:v>
                </c:pt>
                <c:pt idx="245">
                  <c:v>-37.250433168630856</c:v>
                </c:pt>
                <c:pt idx="246">
                  <c:v>-37.233933145424437</c:v>
                </c:pt>
                <c:pt idx="247">
                  <c:v>-37.218469532463295</c:v>
                </c:pt>
                <c:pt idx="248">
                  <c:v>-37.204026454551681</c:v>
                </c:pt>
                <c:pt idx="249">
                  <c:v>-37.190272983803446</c:v>
                </c:pt>
                <c:pt idx="250">
                  <c:v>-37.177557613963437</c:v>
                </c:pt>
                <c:pt idx="251">
                  <c:v>-37.16586418111639</c:v>
                </c:pt>
                <c:pt idx="252">
                  <c:v>-37.15517681273365</c:v>
                </c:pt>
                <c:pt idx="253">
                  <c:v>-37.145285287415042</c:v>
                </c:pt>
                <c:pt idx="254">
                  <c:v>-37.136410311175609</c:v>
                </c:pt>
                <c:pt idx="255">
                  <c:v>-37.128535883341016</c:v>
                </c:pt>
                <c:pt idx="256">
                  <c:v>-37.121646293896205</c:v>
                </c:pt>
                <c:pt idx="257">
                  <c:v>-37.115585490746675</c:v>
                </c:pt>
                <c:pt idx="258">
                  <c:v>-37.110528629516658</c:v>
                </c:pt>
                <c:pt idx="259">
                  <c:v>-37.10645966035603</c:v>
                </c:pt>
                <c:pt idx="260">
                  <c:v>-37.103362828421872</c:v>
                </c:pt>
                <c:pt idx="261">
                  <c:v>-37.1011850262569</c:v>
                </c:pt>
                <c:pt idx="262">
                  <c:v>-37.099991635832893</c:v>
                </c:pt>
                <c:pt idx="263">
                  <c:v>-37.099766719636882</c:v>
                </c:pt>
                <c:pt idx="264">
                  <c:v>-37.100494635528015</c:v>
                </c:pt>
                <c:pt idx="265">
                  <c:v>-37.102207571008236</c:v>
                </c:pt>
                <c:pt idx="266">
                  <c:v>-37.104884020413884</c:v>
                </c:pt>
                <c:pt idx="267">
                  <c:v>-37.108508190662185</c:v>
                </c:pt>
                <c:pt idx="268">
                  <c:v>-37.113064583533358</c:v>
                </c:pt>
                <c:pt idx="269">
                  <c:v>-37.118681414372965</c:v>
                </c:pt>
                <c:pt idx="270">
                  <c:v>-37.125244061775057</c:v>
                </c:pt>
                <c:pt idx="271">
                  <c:v>-37.132736796365606</c:v>
                </c:pt>
                <c:pt idx="272">
                  <c:v>-37.14114418506248</c:v>
                </c:pt>
                <c:pt idx="273">
                  <c:v>-37.150681322818237</c:v>
                </c:pt>
                <c:pt idx="274">
                  <c:v>-37.161144969245804</c:v>
                </c:pt>
                <c:pt idx="275">
                  <c:v>-37.172519494780914</c:v>
                </c:pt>
                <c:pt idx="276">
                  <c:v>-37.184789566626684</c:v>
                </c:pt>
                <c:pt idx="277">
                  <c:v>-37.198222063056441</c:v>
                </c:pt>
                <c:pt idx="278">
                  <c:v>-37.21255626763547</c:v>
                </c:pt>
                <c:pt idx="279">
                  <c:v>-37.227776787334228</c:v>
                </c:pt>
                <c:pt idx="280">
                  <c:v>-37.243868522837694</c:v>
                </c:pt>
                <c:pt idx="281">
                  <c:v>-37.261287529741729</c:v>
                </c:pt>
                <c:pt idx="282">
                  <c:v>-37.279594225403088</c:v>
                </c:pt>
                <c:pt idx="283">
                  <c:v>-37.298773173580422</c:v>
                </c:pt>
                <c:pt idx="284">
                  <c:v>-37.318809235755133</c:v>
                </c:pt>
                <c:pt idx="285">
                  <c:v>-37.340108937678863</c:v>
                </c:pt>
                <c:pt idx="286">
                  <c:v>-37.362269114763471</c:v>
                </c:pt>
                <c:pt idx="287">
                  <c:v>-37.385274624974691</c:v>
                </c:pt>
                <c:pt idx="288">
                  <c:v>-37.409110619325901</c:v>
                </c:pt>
                <c:pt idx="289">
                  <c:v>-37.434410779620968</c:v>
                </c:pt>
                <c:pt idx="290">
                  <c:v>-37.460554194686544</c:v>
                </c:pt>
                <c:pt idx="291">
                  <c:v>-37.487525750387078</c:v>
                </c:pt>
                <c:pt idx="292">
                  <c:v>-37.51531062776268</c:v>
                </c:pt>
                <c:pt idx="293">
                  <c:v>-37.54456417192592</c:v>
                </c:pt>
                <c:pt idx="294">
                  <c:v>-37.574638596961123</c:v>
                </c:pt>
                <c:pt idx="295">
                  <c:v>-37.605518947205255</c:v>
                </c:pt>
                <c:pt idx="296">
                  <c:v>-37.637190560892122</c:v>
                </c:pt>
                <c:pt idx="297">
                  <c:v>-37.670380848048289</c:v>
                </c:pt>
                <c:pt idx="298">
                  <c:v>-37.704368448699213</c:v>
                </c:pt>
                <c:pt idx="299">
                  <c:v>-37.73913859366484</c:v>
                </c:pt>
                <c:pt idx="300">
                  <c:v>-37.774676805606909</c:v>
                </c:pt>
                <c:pt idx="301">
                  <c:v>-37.811778927959644</c:v>
                </c:pt>
                <c:pt idx="302">
                  <c:v>-37.849653743756775</c:v>
                </c:pt>
                <c:pt idx="303">
                  <c:v>-37.888286695529757</c:v>
                </c:pt>
                <c:pt idx="304">
                  <c:v>-37.927663514888778</c:v>
                </c:pt>
                <c:pt idx="305">
                  <c:v>-37.968803988685529</c:v>
                </c:pt>
                <c:pt idx="306">
                  <c:v>-38.01069731923495</c:v>
                </c:pt>
                <c:pt idx="307">
                  <c:v>-38.053329019089695</c:v>
                </c:pt>
                <c:pt idx="308">
                  <c:v>-38.096684890845239</c:v>
                </c:pt>
                <c:pt idx="309">
                  <c:v>-38.141687158660083</c:v>
                </c:pt>
                <c:pt idx="310">
                  <c:v>-38.187415419086463</c:v>
                </c:pt>
                <c:pt idx="311">
                  <c:v>-38.233855449488892</c:v>
                </c:pt>
                <c:pt idx="312">
                  <c:v>-38.280993313046707</c:v>
                </c:pt>
                <c:pt idx="313">
                  <c:v>-38.329990176734178</c:v>
                </c:pt>
                <c:pt idx="314">
                  <c:v>-38.379690612430579</c:v>
                </c:pt>
                <c:pt idx="315">
                  <c:v>-38.430080526682012</c:v>
                </c:pt>
                <c:pt idx="316">
                  <c:v>-38.481146111229812</c:v>
                </c:pt>
                <c:pt idx="317">
                  <c:v>-38.534113409313051</c:v>
                </c:pt>
                <c:pt idx="318">
                  <c:v>-38.587760529789875</c:v>
                </c:pt>
                <c:pt idx="319">
                  <c:v>-38.642073538701531</c:v>
                </c:pt>
                <c:pt idx="320">
                  <c:v>-38.697038785864464</c:v>
                </c:pt>
                <c:pt idx="321">
                  <c:v>-38.753943512562081</c:v>
                </c:pt>
                <c:pt idx="322">
                  <c:v>-38.811503129833895</c:v>
                </c:pt>
                <c:pt idx="323">
                  <c:v>-38.869703890836085</c:v>
                </c:pt>
                <c:pt idx="324">
                  <c:v>-38.928532330346826</c:v>
                </c:pt>
                <c:pt idx="325">
                  <c:v>-38.989333273221412</c:v>
                </c:pt>
                <c:pt idx="326">
                  <c:v>-39.050763133205486</c:v>
                </c:pt>
                <c:pt idx="327">
                  <c:v>-39.112808375562558</c:v>
                </c:pt>
                <c:pt idx="328">
                  <c:v>-39.175455744360328</c:v>
                </c:pt>
                <c:pt idx="329">
                  <c:v>-39.240212720618338</c:v>
                </c:pt>
                <c:pt idx="330">
                  <c:v>-39.305573725529918</c:v>
                </c:pt>
                <c:pt idx="331">
                  <c:v>-39.371525392788953</c:v>
                </c:pt>
                <c:pt idx="332">
                  <c:v>-39.438054633303238</c:v>
                </c:pt>
                <c:pt idx="333">
                  <c:v>-39.506610925551591</c:v>
                </c:pt>
                <c:pt idx="334">
                  <c:v>-39.575743365491284</c:v>
                </c:pt>
                <c:pt idx="335">
                  <c:v>-39.645438845878076</c:v>
                </c:pt>
                <c:pt idx="336">
                  <c:v>-39.715684532628885</c:v>
                </c:pt>
                <c:pt idx="337">
                  <c:v>-39.788209388861979</c:v>
                </c:pt>
                <c:pt idx="338">
                  <c:v>-39.861285330807519</c:v>
                </c:pt>
                <c:pt idx="339">
                  <c:v>-39.934899405610828</c:v>
                </c:pt>
                <c:pt idx="340">
                  <c:v>-40.009038932476834</c:v>
                </c:pt>
                <c:pt idx="341">
                  <c:v>-40.085483625039835</c:v>
                </c:pt>
                <c:pt idx="342">
                  <c:v>-40.162453148989236</c:v>
                </c:pt>
                <c:pt idx="343">
                  <c:v>-40.239934734434222</c:v>
                </c:pt>
                <c:pt idx="344">
                  <c:v>-40.317915881726982</c:v>
                </c:pt>
                <c:pt idx="345">
                  <c:v>-40.398100844195994</c:v>
                </c:pt>
                <c:pt idx="346">
                  <c:v>-40.478781841972427</c:v>
                </c:pt>
                <c:pt idx="347">
                  <c:v>-40.559946370892455</c:v>
                </c:pt>
                <c:pt idx="348">
                  <c:v>-40.641582192962801</c:v>
                </c:pt>
                <c:pt idx="349">
                  <c:v>-40.725685288776781</c:v>
                </c:pt>
                <c:pt idx="350">
                  <c:v>-40.810257777958796</c:v>
                </c:pt>
                <c:pt idx="351">
                  <c:v>-40.895287330888578</c:v>
                </c:pt>
                <c:pt idx="352">
                  <c:v>-40.98076188271115</c:v>
                </c:pt>
                <c:pt idx="353">
                  <c:v>-41.068720233504997</c:v>
                </c:pt>
                <c:pt idx="354">
                  <c:v>-41.1571202542194</c:v>
                </c:pt>
                <c:pt idx="355">
                  <c:v>-41.245949817284398</c:v>
                </c:pt>
                <c:pt idx="356">
                  <c:v>-41.335197057825276</c:v>
                </c:pt>
                <c:pt idx="357">
                  <c:v>-41.426809455106472</c:v>
                </c:pt>
                <c:pt idx="358">
                  <c:v>-41.518833706001018</c:v>
                </c:pt>
                <c:pt idx="359">
                  <c:v>-41.611257960238191</c:v>
                </c:pt>
                <c:pt idx="360">
                  <c:v>-41.704070626114635</c:v>
                </c:pt>
                <c:pt idx="361">
                  <c:v>-41.799518461647864</c:v>
                </c:pt>
                <c:pt idx="362">
                  <c:v>-41.895349912301839</c:v>
                </c:pt>
                <c:pt idx="363">
                  <c:v>-41.991553326397074</c:v>
                </c:pt>
                <c:pt idx="364">
                  <c:v>-42.08811730909953</c:v>
                </c:pt>
                <c:pt idx="365">
                  <c:v>-42.187188232072927</c:v>
                </c:pt>
                <c:pt idx="366">
                  <c:v>-42.286612642157401</c:v>
                </c:pt>
                <c:pt idx="367">
                  <c:v>-42.386379158580219</c:v>
                </c:pt>
                <c:pt idx="368">
                  <c:v>-42.486476653715982</c:v>
                </c:pt>
                <c:pt idx="369">
                  <c:v>-42.589354031278887</c:v>
                </c:pt>
                <c:pt idx="370">
                  <c:v>-42.692555919022205</c:v>
                </c:pt>
                <c:pt idx="371">
                  <c:v>-42.79607113802976</c:v>
                </c:pt>
                <c:pt idx="372">
                  <c:v>-42.899888761034077</c:v>
                </c:pt>
                <c:pt idx="373">
                  <c:v>-43.006348680163491</c:v>
                </c:pt>
                <c:pt idx="374">
                  <c:v>-43.113102462672593</c:v>
                </c:pt>
                <c:pt idx="375">
                  <c:v>-43.2201392008431</c:v>
                </c:pt>
                <c:pt idx="376">
                  <c:v>-43.327448235209133</c:v>
                </c:pt>
                <c:pt idx="377">
                  <c:v>-43.437673271809288</c:v>
                </c:pt>
                <c:pt idx="378">
                  <c:v>-43.548162304293946</c:v>
                </c:pt>
                <c:pt idx="379">
                  <c:v>-43.65890463599338</c:v>
                </c:pt>
                <c:pt idx="380">
                  <c:v>-43.769889817105124</c:v>
                </c:pt>
                <c:pt idx="381">
                  <c:v>-43.883503415978332</c:v>
                </c:pt>
                <c:pt idx="382">
                  <c:v>-43.997349146092041</c:v>
                </c:pt>
                <c:pt idx="383">
                  <c:v>-44.11141662631907</c:v>
                </c:pt>
                <c:pt idx="384">
                  <c:v>-44.225695718003003</c:v>
                </c:pt>
                <c:pt idx="385">
                  <c:v>-44.343016191438053</c:v>
                </c:pt>
                <c:pt idx="386">
                  <c:v>-44.460538090782464</c:v>
                </c:pt>
                <c:pt idx="387">
                  <c:v>-44.578251257459449</c:v>
                </c:pt>
                <c:pt idx="388">
                  <c:v>-44.696145774057349</c:v>
                </c:pt>
                <c:pt idx="389">
                  <c:v>-44.816926424323533</c:v>
                </c:pt>
                <c:pt idx="390">
                  <c:v>-44.93787660441938</c:v>
                </c:pt>
                <c:pt idx="391">
                  <c:v>-45.058986441497815</c:v>
                </c:pt>
                <c:pt idx="392">
                  <c:v>-45.180246300821267</c:v>
                </c:pt>
                <c:pt idx="393">
                  <c:v>-45.304374811052028</c:v>
                </c:pt>
                <c:pt idx="394">
                  <c:v>-45.428640522689065</c:v>
                </c:pt>
                <c:pt idx="395">
                  <c:v>-45.553033870295877</c:v>
                </c:pt>
                <c:pt idx="396">
                  <c:v>-45.677545523006785</c:v>
                </c:pt>
                <c:pt idx="397">
                  <c:v>-45.805193138764132</c:v>
                </c:pt>
                <c:pt idx="398">
                  <c:v>-45.932945785724279</c:v>
                </c:pt>
                <c:pt idx="399">
                  <c:v>-46.060794163453053</c:v>
                </c:pt>
                <c:pt idx="400">
                  <c:v>-46.188729204176717</c:v>
                </c:pt>
                <c:pt idx="401">
                  <c:v>-46.319632578367525</c:v>
                </c:pt>
                <c:pt idx="402">
                  <c:v>-46.450608113759863</c:v>
                </c:pt>
                <c:pt idx="403">
                  <c:v>-46.581646830951151</c:v>
                </c:pt>
                <c:pt idx="404">
                  <c:v>-46.712739979687989</c:v>
                </c:pt>
                <c:pt idx="405">
                  <c:v>-46.846919157361107</c:v>
                </c:pt>
                <c:pt idx="406">
                  <c:v>-46.981137494982541</c:v>
                </c:pt>
                <c:pt idx="407">
                  <c:v>-47.115386326561868</c:v>
                </c:pt>
                <c:pt idx="408">
                  <c:v>-47.249657212250149</c:v>
                </c:pt>
                <c:pt idx="409">
                  <c:v>-47.387128942667971</c:v>
                </c:pt>
                <c:pt idx="410">
                  <c:v>-47.524606587139196</c:v>
                </c:pt>
                <c:pt idx="411">
                  <c:v>-47.662081789360137</c:v>
                </c:pt>
                <c:pt idx="412">
                  <c:v>-47.799546416571168</c:v>
                </c:pt>
                <c:pt idx="413">
                  <c:v>-47.940178589629383</c:v>
                </c:pt>
                <c:pt idx="414">
                  <c:v>-48.080783157686305</c:v>
                </c:pt>
                <c:pt idx="415">
                  <c:v>-48.221352098452947</c:v>
                </c:pt>
                <c:pt idx="416">
                  <c:v>-48.361877610013806</c:v>
                </c:pt>
                <c:pt idx="417">
                  <c:v>-48.505678834009096</c:v>
                </c:pt>
                <c:pt idx="418">
                  <c:v>-48.649418684364505</c:v>
                </c:pt>
                <c:pt idx="419">
                  <c:v>-48.793089471991365</c:v>
                </c:pt>
                <c:pt idx="420">
                  <c:v>-48.936683725331761</c:v>
                </c:pt>
                <c:pt idx="421">
                  <c:v>-49.083369470480456</c:v>
                </c:pt>
                <c:pt idx="422">
                  <c:v>-49.229960142218729</c:v>
                </c:pt>
                <c:pt idx="423">
                  <c:v>-49.376448429720107</c:v>
                </c:pt>
                <c:pt idx="424">
                  <c:v>-49.522827235428728</c:v>
                </c:pt>
                <c:pt idx="425">
                  <c:v>-49.672687122341848</c:v>
                </c:pt>
                <c:pt idx="426">
                  <c:v>-49.822417649846635</c:v>
                </c:pt>
                <c:pt idx="427">
                  <c:v>-49.972011843566662</c:v>
                </c:pt>
                <c:pt idx="428">
                  <c:v>-50.121462940065342</c:v>
                </c:pt>
                <c:pt idx="429">
                  <c:v>-50.274204673495461</c:v>
                </c:pt>
                <c:pt idx="430">
                  <c:v>-50.426782966369018</c:v>
                </c:pt>
                <c:pt idx="431">
                  <c:v>-50.579191225694942</c:v>
                </c:pt>
                <c:pt idx="432">
                  <c:v>-50.731423065637202</c:v>
                </c:pt>
                <c:pt idx="433">
                  <c:v>-50.886896612824756</c:v>
                </c:pt>
                <c:pt idx="434">
                  <c:v>-51.042172834481597</c:v>
                </c:pt>
                <c:pt idx="435">
                  <c:v>-51.197245539238295</c:v>
                </c:pt>
                <c:pt idx="436">
                  <c:v>-51.3521087385312</c:v>
                </c:pt>
                <c:pt idx="437">
                  <c:v>-51.510446199457</c:v>
                </c:pt>
                <c:pt idx="438">
                  <c:v>-51.668551953512747</c:v>
                </c:pt>
                <c:pt idx="439">
                  <c:v>-51.826420197995027</c:v>
                </c:pt>
                <c:pt idx="440">
                  <c:v>-51.984045329535675</c:v>
                </c:pt>
                <c:pt idx="441">
                  <c:v>-52.145088699533481</c:v>
                </c:pt>
                <c:pt idx="442">
                  <c:v>-52.305866229783817</c:v>
                </c:pt>
                <c:pt idx="443">
                  <c:v>-52.466372528525739</c:v>
                </c:pt>
                <c:pt idx="444">
                  <c:v>-52.626602399205218</c:v>
                </c:pt>
                <c:pt idx="445">
                  <c:v>-52.790192266793433</c:v>
                </c:pt>
                <c:pt idx="446">
                  <c:v>-52.953482570521238</c:v>
                </c:pt>
                <c:pt idx="447">
                  <c:v>-53.116468348986103</c:v>
                </c:pt>
                <c:pt idx="448">
                  <c:v>-53.279144831244651</c:v>
                </c:pt>
                <c:pt idx="449">
                  <c:v>-53.445399128039057</c:v>
                </c:pt>
                <c:pt idx="450">
                  <c:v>-53.611319572056203</c:v>
                </c:pt>
                <c:pt idx="451">
                  <c:v>-53.776901626523063</c:v>
                </c:pt>
                <c:pt idx="452">
                  <c:v>-53.942140941024789</c:v>
                </c:pt>
                <c:pt idx="453">
                  <c:v>-54.110754909522946</c:v>
                </c:pt>
                <c:pt idx="454">
                  <c:v>-54.279001847428823</c:v>
                </c:pt>
                <c:pt idx="455">
                  <c:v>-54.446877672685304</c:v>
                </c:pt>
                <c:pt idx="456">
                  <c:v>-54.61437848421081</c:v>
                </c:pt>
                <c:pt idx="457">
                  <c:v>-54.785461998499507</c:v>
                </c:pt>
                <c:pt idx="458">
                  <c:v>-54.956144772843558</c:v>
                </c:pt>
                <c:pt idx="459">
                  <c:v>-55.12642317681378</c:v>
                </c:pt>
                <c:pt idx="460">
                  <c:v>-55.296293756104866</c:v>
                </c:pt>
                <c:pt idx="461">
                  <c:v>-55.469676643554173</c:v>
                </c:pt>
                <c:pt idx="462">
                  <c:v>-55.642625804731665</c:v>
                </c:pt>
                <c:pt idx="463">
                  <c:v>-55.815138077943011</c:v>
                </c:pt>
                <c:pt idx="464">
                  <c:v>-55.987210472080108</c:v>
                </c:pt>
                <c:pt idx="465">
                  <c:v>-56.162857400801983</c:v>
                </c:pt>
                <c:pt idx="466">
                  <c:v>-56.338037774948084</c:v>
                </c:pt>
                <c:pt idx="467">
                  <c:v>-56.512748909371169</c:v>
                </c:pt>
                <c:pt idx="468">
                  <c:v>-56.686988283829692</c:v>
                </c:pt>
                <c:pt idx="469">
                  <c:v>-56.864727323849309</c:v>
                </c:pt>
                <c:pt idx="470">
                  <c:v>-57.041967920820916</c:v>
                </c:pt>
                <c:pt idx="471">
                  <c:v>-57.218707879525383</c:v>
                </c:pt>
                <c:pt idx="472">
                  <c:v>-57.394945163306794</c:v>
                </c:pt>
                <c:pt idx="473">
                  <c:v>-57.574868308296836</c:v>
                </c:pt>
                <c:pt idx="474">
                  <c:v>-57.754260649522678</c:v>
                </c:pt>
                <c:pt idx="475">
                  <c:v>-57.933120484517261</c:v>
                </c:pt>
                <c:pt idx="476">
                  <c:v>-58.111446263298802</c:v>
                </c:pt>
                <c:pt idx="477">
                  <c:v>-58.293376895812735</c:v>
                </c:pt>
                <c:pt idx="478">
                  <c:v>-58.47474545253683</c:v>
                </c:pt>
                <c:pt idx="479">
                  <c:v>-58.655550735733335</c:v>
                </c:pt>
                <c:pt idx="480">
                  <c:v>-58.835791693374155</c:v>
                </c:pt>
                <c:pt idx="481">
                  <c:v>-59.019555992637919</c:v>
                </c:pt>
                <c:pt idx="482">
                  <c:v>-59.202728168004072</c:v>
                </c:pt>
                <c:pt idx="483">
                  <c:v>-59.385307534721051</c:v>
                </c:pt>
                <c:pt idx="484">
                  <c:v>-59.56729354633643</c:v>
                </c:pt>
                <c:pt idx="485">
                  <c:v>-59.752847292642898</c:v>
                </c:pt>
                <c:pt idx="486">
                  <c:v>-59.937779364514654</c:v>
                </c:pt>
                <c:pt idx="487">
                  <c:v>-60.122089594599522</c:v>
                </c:pt>
                <c:pt idx="488">
                  <c:v>-60.305777946214064</c:v>
                </c:pt>
                <c:pt idx="489">
                  <c:v>-60.493198621035276</c:v>
                </c:pt>
                <c:pt idx="490">
                  <c:v>-60.679967752089048</c:v>
                </c:pt>
                <c:pt idx="491">
                  <c:v>-60.866085694588563</c:v>
                </c:pt>
                <c:pt idx="492">
                  <c:v>-61.051552926854995</c:v>
                </c:pt>
                <c:pt idx="493">
                  <c:v>-61.240663240814783</c:v>
                </c:pt>
                <c:pt idx="494">
                  <c:v>-61.429093594210535</c:v>
                </c:pt>
                <c:pt idx="495">
                  <c:v>-61.616844869316225</c:v>
                </c:pt>
                <c:pt idx="496">
                  <c:v>-61.803918063315898</c:v>
                </c:pt>
                <c:pt idx="497">
                  <c:v>-61.994666335710853</c:v>
                </c:pt>
                <c:pt idx="498">
                  <c:v>-62.184706894775957</c:v>
                </c:pt>
                <c:pt idx="499">
                  <c:v>-62.37404115324663</c:v>
                </c:pt>
                <c:pt idx="500">
                  <c:v>-62.562670630276472</c:v>
                </c:pt>
                <c:pt idx="501">
                  <c:v>-62.755003284225722</c:v>
                </c:pt>
                <c:pt idx="502">
                  <c:v>-62.946601196387498</c:v>
                </c:pt>
                <c:pt idx="503">
                  <c:v>-63.137466312633308</c:v>
                </c:pt>
                <c:pt idx="504">
                  <c:v>-63.327600676454388</c:v>
                </c:pt>
                <c:pt idx="505">
                  <c:v>-63.521345290554706</c:v>
                </c:pt>
                <c:pt idx="506">
                  <c:v>-63.714329841224803</c:v>
                </c:pt>
                <c:pt idx="507">
                  <c:v>-63.906556804647742</c:v>
                </c:pt>
                <c:pt idx="508">
                  <c:v>-64.098028745305115</c:v>
                </c:pt>
                <c:pt idx="509">
                  <c:v>-64.293134457536397</c:v>
                </c:pt>
                <c:pt idx="510">
                  <c:v>-64.487455642743456</c:v>
                </c:pt>
                <c:pt idx="511">
                  <c:v>-64.680995306252157</c:v>
                </c:pt>
                <c:pt idx="512">
                  <c:v>-64.873756532116133</c:v>
                </c:pt>
                <c:pt idx="513">
                  <c:v>-65.070285222907927</c:v>
                </c:pt>
                <c:pt idx="514">
                  <c:v>-65.266004899544043</c:v>
                </c:pt>
                <c:pt idx="515">
                  <c:v>-65.460919100518311</c:v>
                </c:pt>
                <c:pt idx="516">
                  <c:v>-65.655031433389084</c:v>
                </c:pt>
                <c:pt idx="517">
                  <c:v>-65.852813598094443</c:v>
                </c:pt>
                <c:pt idx="518">
                  <c:v>-66.049764164549103</c:v>
                </c:pt>
                <c:pt idx="519">
                  <c:v>-66.245887195772397</c:v>
                </c:pt>
                <c:pt idx="520">
                  <c:v>-66.44118681375501</c:v>
                </c:pt>
                <c:pt idx="521">
                  <c:v>-66.640170065627927</c:v>
                </c:pt>
                <c:pt idx="522">
                  <c:v>-66.838300153223656</c:v>
                </c:pt>
                <c:pt idx="523">
                  <c:v>-67.035581659428175</c:v>
                </c:pt>
                <c:pt idx="524">
                  <c:v>-67.232019215781406</c:v>
                </c:pt>
                <c:pt idx="525">
                  <c:v>-67.432151327346105</c:v>
                </c:pt>
                <c:pt idx="526">
                  <c:v>-67.631409775114847</c:v>
                </c:pt>
                <c:pt idx="527">
                  <c:v>-67.829799655853094</c:v>
                </c:pt>
                <c:pt idx="528">
                  <c:v>-68.027326104456776</c:v>
                </c:pt>
                <c:pt idx="529">
                  <c:v>-68.228555332396041</c:v>
                </c:pt>
                <c:pt idx="530">
                  <c:v>-68.428891509051596</c:v>
                </c:pt>
                <c:pt idx="531">
                  <c:v>-68.628340237688548</c:v>
                </c:pt>
                <c:pt idx="532">
                  <c:v>-68.826907148996838</c:v>
                </c:pt>
                <c:pt idx="533">
                  <c:v>-69.029286745982375</c:v>
                </c:pt>
                <c:pt idx="534">
                  <c:v>-69.230754120196494</c:v>
                </c:pt>
                <c:pt idx="535">
                  <c:v>-69.431315382056411</c:v>
                </c:pt>
                <c:pt idx="536">
                  <c:v>-69.630976658575378</c:v>
                </c:pt>
                <c:pt idx="537">
                  <c:v>-69.834246540896643</c:v>
                </c:pt>
                <c:pt idx="538">
                  <c:v>-70.036588110199645</c:v>
                </c:pt>
                <c:pt idx="539">
                  <c:v>-70.238007954861317</c:v>
                </c:pt>
                <c:pt idx="540">
                  <c:v>-70.438512668834989</c:v>
                </c:pt>
                <c:pt idx="541">
                  <c:v>-70.642830983383064</c:v>
                </c:pt>
                <c:pt idx="542">
                  <c:v>-70.846204241438556</c:v>
                </c:pt>
                <c:pt idx="543">
                  <c:v>-71.048639517492091</c:v>
                </c:pt>
                <c:pt idx="544">
                  <c:v>-71.250143880527133</c:v>
                </c:pt>
                <c:pt idx="545">
                  <c:v>-71.455359770906199</c:v>
                </c:pt>
                <c:pt idx="546">
                  <c:v>-71.659616064508242</c:v>
                </c:pt>
                <c:pt idx="547">
                  <c:v>-71.862920298713959</c:v>
                </c:pt>
                <c:pt idx="548">
                  <c:v>-72.065279994252904</c:v>
                </c:pt>
                <c:pt idx="549">
                  <c:v>-72.271348800604102</c:v>
                </c:pt>
                <c:pt idx="550">
                  <c:v>-72.476444749018086</c:v>
                </c:pt>
                <c:pt idx="551">
                  <c:v>-72.680575825114175</c:v>
                </c:pt>
                <c:pt idx="552">
                  <c:v>-72.883749986709475</c:v>
                </c:pt>
                <c:pt idx="553">
                  <c:v>-73.090724272851816</c:v>
                </c:pt>
                <c:pt idx="554">
                  <c:v>-73.296712833692183</c:v>
                </c:pt>
                <c:pt idx="555">
                  <c:v>-73.501724098696599</c:v>
                </c:pt>
                <c:pt idx="556">
                  <c:v>-73.705766458340364</c:v>
                </c:pt>
                <c:pt idx="557">
                  <c:v>-74.120438108719966</c:v>
                </c:pt>
                <c:pt idx="558">
                  <c:v>-74.531156147386582</c:v>
                </c:pt>
                <c:pt idx="559">
                  <c:v>-74.947271039080363</c:v>
                </c:pt>
                <c:pt idx="560">
                  <c:v>-75.359396755590254</c:v>
                </c:pt>
                <c:pt idx="561">
                  <c:v>-75.777244740233783</c:v>
                </c:pt>
                <c:pt idx="562">
                  <c:v>-76.191066335780931</c:v>
                </c:pt>
                <c:pt idx="563">
                  <c:v>-76.609690706113881</c:v>
                </c:pt>
                <c:pt idx="564">
                  <c:v>-77.024273823996111</c:v>
                </c:pt>
                <c:pt idx="565">
                  <c:v>-77.445195745519911</c:v>
                </c:pt>
                <c:pt idx="566">
                  <c:v>-77.862036358355411</c:v>
                </c:pt>
                <c:pt idx="567">
                  <c:v>-78.284979760312424</c:v>
                </c:pt>
                <c:pt idx="568">
                  <c:v>-78.703811208919149</c:v>
                </c:pt>
                <c:pt idx="569">
                  <c:v>-79.126871129699509</c:v>
                </c:pt>
                <c:pt idx="570">
                  <c:v>-79.545829477738479</c:v>
                </c:pt>
                <c:pt idx="571">
                  <c:v>-79.972107469313158</c:v>
                </c:pt>
                <c:pt idx="572">
                  <c:v>-80.394238606697257</c:v>
                </c:pt>
                <c:pt idx="573">
                  <c:v>-80.82025229109729</c:v>
                </c:pt>
                <c:pt idx="574">
                  <c:v>-81.24214543031303</c:v>
                </c:pt>
                <c:pt idx="575">
                  <c:v>-81.670910606623124</c:v>
                </c:pt>
                <c:pt idx="576">
                  <c:v>-82.095527719012964</c:v>
                </c:pt>
                <c:pt idx="577">
                  <c:v>-83.849333733866601</c:v>
                </c:pt>
                <c:pt idx="578">
                  <c:v>-85.537071134438108</c:v>
                </c:pt>
                <c:pt idx="579">
                  <c:v>-89.032880291926659</c:v>
                </c:pt>
                <c:pt idx="580">
                  <c:v>-92.599553759499486</c:v>
                </c:pt>
                <c:pt idx="581">
                  <c:v>-96.246565439392171</c:v>
                </c:pt>
                <c:pt idx="582">
                  <c:v>-99.994214634557579</c:v>
                </c:pt>
                <c:pt idx="583">
                  <c:v>-103.86077181762792</c:v>
                </c:pt>
                <c:pt idx="584">
                  <c:v>-107.87303586078779</c:v>
                </c:pt>
                <c:pt idx="585">
                  <c:v>-112.05521659909317</c:v>
                </c:pt>
                <c:pt idx="586">
                  <c:v>-116.43670281240892</c:v>
                </c:pt>
                <c:pt idx="587">
                  <c:v>-121.0509718351517</c:v>
                </c:pt>
                <c:pt idx="588">
                  <c:v>-125.92647842543975</c:v>
                </c:pt>
                <c:pt idx="589">
                  <c:v>-131.10143387761107</c:v>
                </c:pt>
                <c:pt idx="590">
                  <c:v>-136.60923437064952</c:v>
                </c:pt>
                <c:pt idx="591">
                  <c:v>-142.48553184218773</c:v>
                </c:pt>
                <c:pt idx="592">
                  <c:v>-148.76314962021596</c:v>
                </c:pt>
                <c:pt idx="593">
                  <c:v>-155.47393072664218</c:v>
                </c:pt>
                <c:pt idx="594">
                  <c:v>-162.63912633794254</c:v>
                </c:pt>
                <c:pt idx="595">
                  <c:v>-170.27172136080213</c:v>
                </c:pt>
                <c:pt idx="596">
                  <c:v>-178.36457880033731</c:v>
                </c:pt>
                <c:pt idx="597">
                  <c:v>-186.89035526691958</c:v>
                </c:pt>
                <c:pt idx="598">
                  <c:v>-195.78857976661811</c:v>
                </c:pt>
                <c:pt idx="599">
                  <c:v>-204.97073560443505</c:v>
                </c:pt>
                <c:pt idx="600">
                  <c:v>-214.31406786199835</c:v>
                </c:pt>
              </c:numCache>
            </c:numRef>
          </c:yVal>
          <c:smooth val="0"/>
          <c:extLst>
            <c:ext xmlns:c16="http://schemas.microsoft.com/office/drawing/2014/chart" uri="{C3380CC4-5D6E-409C-BE32-E72D297353CC}">
              <c16:uniqueId val="{00000001-5314-496C-84FB-BC9D9C42BA7D}"/>
            </c:ext>
          </c:extLst>
        </c:ser>
        <c:dLbls>
          <c:showLegendKey val="0"/>
          <c:showVal val="0"/>
          <c:showCatName val="0"/>
          <c:showSerName val="0"/>
          <c:showPercent val="0"/>
          <c:showBubbleSize val="0"/>
        </c:dLbls>
        <c:axId val="184341632"/>
        <c:axId val="184343168"/>
      </c:scatterChart>
      <c:valAx>
        <c:axId val="18432524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4327168"/>
        <c:crossesAt val="-40"/>
        <c:crossBetween val="midCat"/>
        <c:majorUnit val="10"/>
        <c:minorUnit val="10"/>
      </c:valAx>
      <c:valAx>
        <c:axId val="18432716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4325248"/>
        <c:crossesAt val="0.1"/>
        <c:crossBetween val="midCat"/>
        <c:majorUnit val="20"/>
        <c:minorUnit val="4"/>
      </c:valAx>
      <c:valAx>
        <c:axId val="184341632"/>
        <c:scaling>
          <c:logBase val="10"/>
          <c:orientation val="minMax"/>
        </c:scaling>
        <c:delete val="1"/>
        <c:axPos val="t"/>
        <c:numFmt formatCode="General" sourceLinked="1"/>
        <c:majorTickMark val="out"/>
        <c:minorTickMark val="none"/>
        <c:tickLblPos val="none"/>
        <c:crossAx val="184343168"/>
        <c:crossesAt val="0"/>
        <c:crossBetween val="midCat"/>
      </c:valAx>
      <c:valAx>
        <c:axId val="184343168"/>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434163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49-4ADE-B8CD-DD5F374AD6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1042863.4307551206</c:v>
                </c:pt>
              </c:numCache>
            </c:numRef>
          </c:xVal>
          <c:yVal>
            <c:numRef>
              <c:f>'Stability Calculations'!$Q$627</c:f>
              <c:numCache>
                <c:formatCode>0.00</c:formatCode>
                <c:ptCount val="1"/>
                <c:pt idx="0">
                  <c:v>-31.737355540463046</c:v>
                </c:pt>
              </c:numCache>
            </c:numRef>
          </c:yVal>
          <c:smooth val="0"/>
          <c:extLst>
            <c:ext xmlns:c16="http://schemas.microsoft.com/office/drawing/2014/chart" uri="{C3380CC4-5D6E-409C-BE32-E72D297353CC}">
              <c16:uniqueId val="{00000001-4B49-4ADE-B8CD-DD5F374AD671}"/>
            </c:ext>
          </c:extLst>
        </c:ser>
        <c:dLbls>
          <c:showLegendKey val="0"/>
          <c:showVal val="0"/>
          <c:showCatName val="0"/>
          <c:showSerName val="0"/>
          <c:showPercent val="0"/>
          <c:showBubbleSize val="0"/>
        </c:dLbls>
        <c:axId val="165647872"/>
        <c:axId val="1656497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76.671884297013179</c:v>
                </c:pt>
                <c:pt idx="1">
                  <c:v>75.877862913042719</c:v>
                </c:pt>
                <c:pt idx="2">
                  <c:v>75.082901084121858</c:v>
                </c:pt>
                <c:pt idx="3">
                  <c:v>74.287137868189646</c:v>
                </c:pt>
                <c:pt idx="4">
                  <c:v>73.491210228052026</c:v>
                </c:pt>
                <c:pt idx="5">
                  <c:v>72.693890572379885</c:v>
                </c:pt>
                <c:pt idx="6">
                  <c:v>71.89639175887369</c:v>
                </c:pt>
                <c:pt idx="7">
                  <c:v>71.098256100913289</c:v>
                </c:pt>
                <c:pt idx="8">
                  <c:v>70.300122171686681</c:v>
                </c:pt>
                <c:pt idx="9">
                  <c:v>69.501433213270104</c:v>
                </c:pt>
                <c:pt idx="10">
                  <c:v>68.702688165635976</c:v>
                </c:pt>
                <c:pt idx="11">
                  <c:v>67.903806681165605</c:v>
                </c:pt>
                <c:pt idx="12">
                  <c:v>67.104393915766948</c:v>
                </c:pt>
                <c:pt idx="13">
                  <c:v>66.305241263416306</c:v>
                </c:pt>
                <c:pt idx="14">
                  <c:v>65.505730477049909</c:v>
                </c:pt>
                <c:pt idx="15">
                  <c:v>64.706185476977979</c:v>
                </c:pt>
                <c:pt idx="16">
                  <c:v>63.906555527884592</c:v>
                </c:pt>
                <c:pt idx="17">
                  <c:v>63.106965686203978</c:v>
                </c:pt>
                <c:pt idx="18">
                  <c:v>62.307192990222063</c:v>
                </c:pt>
                <c:pt idx="19">
                  <c:v>61.507459688680683</c:v>
                </c:pt>
                <c:pt idx="20">
                  <c:v>60.707612001966126</c:v>
                </c:pt>
                <c:pt idx="21">
                  <c:v>59.907817337782788</c:v>
                </c:pt>
                <c:pt idx="22">
                  <c:v>59.107907996557927</c:v>
                </c:pt>
                <c:pt idx="23">
                  <c:v>58.308084194708798</c:v>
                </c:pt>
                <c:pt idx="24">
                  <c:v>57.508144032949595</c:v>
                </c:pt>
                <c:pt idx="25">
                  <c:v>56.708212524772172</c:v>
                </c:pt>
                <c:pt idx="26">
                  <c:v>55.908104168069116</c:v>
                </c:pt>
                <c:pt idx="27">
                  <c:v>55.108074355477406</c:v>
                </c:pt>
                <c:pt idx="28">
                  <c:v>54.30809256733825</c:v>
                </c:pt>
                <c:pt idx="29">
                  <c:v>53.508656368856307</c:v>
                </c:pt>
                <c:pt idx="30">
                  <c:v>52.708414710594326</c:v>
                </c:pt>
                <c:pt idx="31">
                  <c:v>51.908486803014796</c:v>
                </c:pt>
                <c:pt idx="32">
                  <c:v>51.108331305063892</c:v>
                </c:pt>
                <c:pt idx="33">
                  <c:v>50.308519976101977</c:v>
                </c:pt>
                <c:pt idx="34">
                  <c:v>49.508437993334852</c:v>
                </c:pt>
                <c:pt idx="35">
                  <c:v>48.708538000199574</c:v>
                </c:pt>
                <c:pt idx="36">
                  <c:v>47.908700254622339</c:v>
                </c:pt>
                <c:pt idx="37">
                  <c:v>47.108497082005194</c:v>
                </c:pt>
                <c:pt idx="38">
                  <c:v>46.308693824916382</c:v>
                </c:pt>
                <c:pt idx="39">
                  <c:v>45.508649587732712</c:v>
                </c:pt>
                <c:pt idx="40">
                  <c:v>44.708670424431247</c:v>
                </c:pt>
                <c:pt idx="41">
                  <c:v>43.908690806717239</c:v>
                </c:pt>
                <c:pt idx="42">
                  <c:v>43.108823947259964</c:v>
                </c:pt>
                <c:pt idx="43">
                  <c:v>42.308837392139232</c:v>
                </c:pt>
                <c:pt idx="44">
                  <c:v>41.508946185084952</c:v>
                </c:pt>
                <c:pt idx="45">
                  <c:v>40.708991145905429</c:v>
                </c:pt>
                <c:pt idx="46">
                  <c:v>39.909136054380937</c:v>
                </c:pt>
                <c:pt idx="47">
                  <c:v>39.109211143722383</c:v>
                </c:pt>
                <c:pt idx="48">
                  <c:v>38.309416103348688</c:v>
                </c:pt>
                <c:pt idx="49">
                  <c:v>37.50955001847047</c:v>
                </c:pt>
                <c:pt idx="50">
                  <c:v>36.709740415821891</c:v>
                </c:pt>
                <c:pt idx="51">
                  <c:v>35.909805980159184</c:v>
                </c:pt>
                <c:pt idx="52">
                  <c:v>35.110007968722527</c:v>
                </c:pt>
                <c:pt idx="53">
                  <c:v>34.310323733666124</c:v>
                </c:pt>
                <c:pt idx="54">
                  <c:v>33.511260678192777</c:v>
                </c:pt>
                <c:pt idx="55">
                  <c:v>32.711481104137398</c:v>
                </c:pt>
                <c:pt idx="56">
                  <c:v>31.91211934243881</c:v>
                </c:pt>
                <c:pt idx="57">
                  <c:v>31.112653645843636</c:v>
                </c:pt>
                <c:pt idx="58">
                  <c:v>30.313678647743441</c:v>
                </c:pt>
                <c:pt idx="59">
                  <c:v>29.514608518268375</c:v>
                </c:pt>
                <c:pt idx="60">
                  <c:v>28.715929638328145</c:v>
                </c:pt>
                <c:pt idx="61">
                  <c:v>27.91756368947793</c:v>
                </c:pt>
                <c:pt idx="62">
                  <c:v>27.119133741575482</c:v>
                </c:pt>
                <c:pt idx="63">
                  <c:v>26.321463306692312</c:v>
                </c:pt>
                <c:pt idx="64">
                  <c:v>25.523985075247815</c:v>
                </c:pt>
                <c:pt idx="65">
                  <c:v>24.727090690732133</c:v>
                </c:pt>
                <c:pt idx="66">
                  <c:v>23.930818516136661</c:v>
                </c:pt>
                <c:pt idx="67">
                  <c:v>23.135405401905224</c:v>
                </c:pt>
                <c:pt idx="68">
                  <c:v>22.340769119146785</c:v>
                </c:pt>
                <c:pt idx="69">
                  <c:v>21.547301530152403</c:v>
                </c:pt>
                <c:pt idx="70">
                  <c:v>20.755057777130208</c:v>
                </c:pt>
                <c:pt idx="71">
                  <c:v>19.964454426542218</c:v>
                </c:pt>
                <c:pt idx="72">
                  <c:v>19.175627068724278</c:v>
                </c:pt>
                <c:pt idx="73">
                  <c:v>18.38913364206358</c:v>
                </c:pt>
                <c:pt idx="74">
                  <c:v>17.605205578402419</c:v>
                </c:pt>
                <c:pt idx="75">
                  <c:v>16.824476723763905</c:v>
                </c:pt>
                <c:pt idx="76">
                  <c:v>16.047372076235067</c:v>
                </c:pt>
                <c:pt idx="77">
                  <c:v>15.274853929628446</c:v>
                </c:pt>
                <c:pt idx="78">
                  <c:v>14.507729408883407</c:v>
                </c:pt>
                <c:pt idx="79">
                  <c:v>13.747446809308368</c:v>
                </c:pt>
                <c:pt idx="80">
                  <c:v>12.993860219360599</c:v>
                </c:pt>
                <c:pt idx="81">
                  <c:v>12.24933978258302</c:v>
                </c:pt>
                <c:pt idx="82">
                  <c:v>11.514877740266014</c:v>
                </c:pt>
                <c:pt idx="83">
                  <c:v>10.792690308610201</c:v>
                </c:pt>
                <c:pt idx="84">
                  <c:v>10.084115393023556</c:v>
                </c:pt>
                <c:pt idx="85">
                  <c:v>9.3916445221800728</c:v>
                </c:pt>
                <c:pt idx="86">
                  <c:v>8.7174297868579274</c:v>
                </c:pt>
                <c:pt idx="87">
                  <c:v>8.0635260057875886</c:v>
                </c:pt>
                <c:pt idx="88">
                  <c:v>7.433047498113174</c:v>
                </c:pt>
                <c:pt idx="89">
                  <c:v>6.8279859467451134</c:v>
                </c:pt>
                <c:pt idx="90">
                  <c:v>6.2510043622628491</c:v>
                </c:pt>
                <c:pt idx="91">
                  <c:v>5.7042853323969753</c:v>
                </c:pt>
                <c:pt idx="92">
                  <c:v>5.1898238070148786</c:v>
                </c:pt>
                <c:pt idx="93">
                  <c:v>4.7089677385277078</c:v>
                </c:pt>
                <c:pt idx="94">
                  <c:v>4.5941904540186123</c:v>
                </c:pt>
                <c:pt idx="95">
                  <c:v>4.5372689228656107</c:v>
                </c:pt>
                <c:pt idx="96">
                  <c:v>4.4815414008086583</c:v>
                </c:pt>
                <c:pt idx="97">
                  <c:v>4.4257241048269558</c:v>
                </c:pt>
                <c:pt idx="98">
                  <c:v>4.3710893572194083</c:v>
                </c:pt>
                <c:pt idx="99">
                  <c:v>4.3163646990974271</c:v>
                </c:pt>
                <c:pt idx="100">
                  <c:v>4.2628110513478141</c:v>
                </c:pt>
                <c:pt idx="101">
                  <c:v>4.2092086336115928</c:v>
                </c:pt>
                <c:pt idx="102">
                  <c:v>4.156763811953514</c:v>
                </c:pt>
                <c:pt idx="103">
                  <c:v>4.1042320172325635</c:v>
                </c:pt>
                <c:pt idx="104">
                  <c:v>4.0528459555946768</c:v>
                </c:pt>
                <c:pt idx="105">
                  <c:v>4.0014135211500417</c:v>
                </c:pt>
                <c:pt idx="106">
                  <c:v>3.9511130300786883</c:v>
                </c:pt>
                <c:pt idx="107">
                  <c:v>3.9008030672295533</c:v>
                </c:pt>
                <c:pt idx="108">
                  <c:v>3.8516094789863486</c:v>
                </c:pt>
                <c:pt idx="109">
                  <c:v>3.8024066560407248</c:v>
                </c:pt>
                <c:pt idx="110">
                  <c:v>3.7543044841679221</c:v>
                </c:pt>
                <c:pt idx="111">
                  <c:v>3.7061626778125047</c:v>
                </c:pt>
                <c:pt idx="112">
                  <c:v>3.6591070047778764</c:v>
                </c:pt>
                <c:pt idx="113">
                  <c:v>3.6120468176376757</c:v>
                </c:pt>
                <c:pt idx="114">
                  <c:v>3.5660564590024144</c:v>
                </c:pt>
                <c:pt idx="115">
                  <c:v>3.5200642458082001</c:v>
                </c:pt>
                <c:pt idx="116">
                  <c:v>3.4751252469175959</c:v>
                </c:pt>
                <c:pt idx="117">
                  <c:v>3.4301875492299407</c:v>
                </c:pt>
                <c:pt idx="118">
                  <c:v>3.3862861066086545</c:v>
                </c:pt>
                <c:pt idx="119">
                  <c:v>3.342415762289153</c:v>
                </c:pt>
                <c:pt idx="120">
                  <c:v>3.299563125976265</c:v>
                </c:pt>
                <c:pt idx="121">
                  <c:v>3.2567428984402809</c:v>
                </c:pt>
                <c:pt idx="122">
                  <c:v>3.2149215758549006</c:v>
                </c:pt>
                <c:pt idx="123">
                  <c:v>3.1731102976206067</c:v>
                </c:pt>
                <c:pt idx="124">
                  <c:v>3.1322799628407774</c:v>
                </c:pt>
                <c:pt idx="125">
                  <c:v>3.0914863866103044</c:v>
                </c:pt>
                <c:pt idx="126">
                  <c:v>3.0516543034728993</c:v>
                </c:pt>
                <c:pt idx="127">
                  <c:v>3.0118606360439202</c:v>
                </c:pt>
                <c:pt idx="128">
                  <c:v>2.9730087199322193</c:v>
                </c:pt>
                <c:pt idx="129">
                  <c:v>2.9341968074909515</c:v>
                </c:pt>
                <c:pt idx="130">
                  <c:v>2.8963066127422534</c:v>
                </c:pt>
                <c:pt idx="131">
                  <c:v>2.8584578552183522</c:v>
                </c:pt>
                <c:pt idx="132">
                  <c:v>2.8398734247989084</c:v>
                </c:pt>
                <c:pt idx="133">
                  <c:v>2.8215104949796426</c:v>
                </c:pt>
                <c:pt idx="134">
                  <c:v>2.8029365873423768</c:v>
                </c:pt>
                <c:pt idx="135">
                  <c:v>2.7845869534489487</c:v>
                </c:pt>
                <c:pt idx="136">
                  <c:v>2.7664577238035908</c:v>
                </c:pt>
                <c:pt idx="137">
                  <c:v>2.7485451060719015</c:v>
                </c:pt>
                <c:pt idx="138">
                  <c:v>2.7304459750044203</c:v>
                </c:pt>
                <c:pt idx="139">
                  <c:v>2.7125656198017118</c:v>
                </c:pt>
                <c:pt idx="140">
                  <c:v>2.6949002229913872</c:v>
                </c:pt>
                <c:pt idx="141">
                  <c:v>2.6774460440116559</c:v>
                </c:pt>
                <c:pt idx="142">
                  <c:v>2.6597929306130261</c:v>
                </c:pt>
                <c:pt idx="143">
                  <c:v>2.6423534774440065</c:v>
                </c:pt>
                <c:pt idx="144">
                  <c:v>2.6251239104855872</c:v>
                </c:pt>
                <c:pt idx="145">
                  <c:v>2.6081005326081947</c:v>
                </c:pt>
                <c:pt idx="146">
                  <c:v>2.5908924544825767</c:v>
                </c:pt>
                <c:pt idx="147">
                  <c:v>2.5738926368151409</c:v>
                </c:pt>
                <c:pt idx="148">
                  <c:v>2.5570973579300378</c:v>
                </c:pt>
                <c:pt idx="149">
                  <c:v>2.540502972777853</c:v>
                </c:pt>
                <c:pt idx="150">
                  <c:v>2.5237290942231274</c:v>
                </c:pt>
                <c:pt idx="151">
                  <c:v>2.5071580252345709</c:v>
                </c:pt>
                <c:pt idx="152">
                  <c:v>2.4907860994422268</c:v>
                </c:pt>
                <c:pt idx="153">
                  <c:v>2.4746097267520168</c:v>
                </c:pt>
                <c:pt idx="154">
                  <c:v>2.4582513978698257</c:v>
                </c:pt>
                <c:pt idx="155">
                  <c:v>2.4420905635291836</c:v>
                </c:pt>
                <c:pt idx="156">
                  <c:v>2.4261236106231925</c:v>
                </c:pt>
                <c:pt idx="157">
                  <c:v>2.4103470020187596</c:v>
                </c:pt>
                <c:pt idx="158">
                  <c:v>2.3943937702136355</c:v>
                </c:pt>
                <c:pt idx="159">
                  <c:v>2.3786326569937537</c:v>
                </c:pt>
                <c:pt idx="160">
                  <c:v>2.3630601058225293</c:v>
                </c:pt>
                <c:pt idx="161">
                  <c:v>2.3476726357332205</c:v>
                </c:pt>
                <c:pt idx="162">
                  <c:v>2.3321204054661351</c:v>
                </c:pt>
                <c:pt idx="163">
                  <c:v>2.3167547041330367</c:v>
                </c:pt>
                <c:pt idx="164">
                  <c:v>2.3015720394869996</c:v>
                </c:pt>
                <c:pt idx="165">
                  <c:v>2.2865689942148086</c:v>
                </c:pt>
                <c:pt idx="166">
                  <c:v>2.2713925603969889</c:v>
                </c:pt>
                <c:pt idx="167">
                  <c:v>2.2563973552520213</c:v>
                </c:pt>
                <c:pt idx="168">
                  <c:v>2.2415799445818227</c:v>
                </c:pt>
                <c:pt idx="169">
                  <c:v>2.2269369686480531</c:v>
                </c:pt>
                <c:pt idx="170">
                  <c:v>2.2121564379443952</c:v>
                </c:pt>
                <c:pt idx="171">
                  <c:v>2.1975510522669688</c:v>
                </c:pt>
                <c:pt idx="172">
                  <c:v>2.183117459712351</c:v>
                </c:pt>
                <c:pt idx="173">
                  <c:v>2.1688523816422163</c:v>
                </c:pt>
                <c:pt idx="174">
                  <c:v>2.1543992631618099</c:v>
                </c:pt>
                <c:pt idx="175">
                  <c:v>2.1401165121911911</c:v>
                </c:pt>
                <c:pt idx="176">
                  <c:v>2.1260008237525407</c:v>
                </c:pt>
                <c:pt idx="177">
                  <c:v>2.1120489659467117</c:v>
                </c:pt>
                <c:pt idx="178">
                  <c:v>2.0979206481379578</c:v>
                </c:pt>
                <c:pt idx="179">
                  <c:v>2.0839576755070479</c:v>
                </c:pt>
                <c:pt idx="180">
                  <c:v>2.0701567985575946</c:v>
                </c:pt>
                <c:pt idx="181">
                  <c:v>2.0565148404235574</c:v>
                </c:pt>
                <c:pt idx="182">
                  <c:v>2.0427605404182363</c:v>
                </c:pt>
                <c:pt idx="183">
                  <c:v>2.0291651258955796</c:v>
                </c:pt>
                <c:pt idx="184">
                  <c:v>2.0157254472569783</c:v>
                </c:pt>
                <c:pt idx="185">
                  <c:v>2.0024384257389003</c:v>
                </c:pt>
                <c:pt idx="186">
                  <c:v>1.9889424999579128</c:v>
                </c:pt>
                <c:pt idx="187">
                  <c:v>1.9756013599967071</c:v>
                </c:pt>
                <c:pt idx="188">
                  <c:v>1.9624118882386432</c:v>
                </c:pt>
                <c:pt idx="189">
                  <c:v>1.9493710381171259</c:v>
                </c:pt>
                <c:pt idx="190">
                  <c:v>1.9362311376516144</c:v>
                </c:pt>
                <c:pt idx="191">
                  <c:v>1.9232394145442369</c:v>
                </c:pt>
                <c:pt idx="192">
                  <c:v>1.9103928604465195</c:v>
                </c:pt>
                <c:pt idx="193">
                  <c:v>1.897688535914051</c:v>
                </c:pt>
                <c:pt idx="194">
                  <c:v>1.8847959990065073</c:v>
                </c:pt>
                <c:pt idx="195">
                  <c:v>1.8720471898049797</c:v>
                </c:pt>
                <c:pt idx="196">
                  <c:v>1.8594391461180326</c:v>
                </c:pt>
                <c:pt idx="197">
                  <c:v>1.8469689744046716</c:v>
                </c:pt>
                <c:pt idx="198">
                  <c:v>1.834365225725882</c:v>
                </c:pt>
                <c:pt idx="199">
                  <c:v>1.8218995553653783</c:v>
                </c:pt>
                <c:pt idx="200">
                  <c:v>1.8095690860200289</c:v>
                </c:pt>
                <c:pt idx="201">
                  <c:v>1.7973710075695315</c:v>
                </c:pt>
                <c:pt idx="202">
                  <c:v>1.7850453649637283</c:v>
                </c:pt>
                <c:pt idx="203">
                  <c:v>1.7728521280916008</c:v>
                </c:pt>
                <c:pt idx="204">
                  <c:v>1.7607885078880803</c:v>
                </c:pt>
                <c:pt idx="205">
                  <c:v>1.7488517808625224</c:v>
                </c:pt>
                <c:pt idx="206">
                  <c:v>1.7367517058061868</c:v>
                </c:pt>
                <c:pt idx="207">
                  <c:v>1.724779228066271</c:v>
                </c:pt>
                <c:pt idx="208">
                  <c:v>1.7129316219411275</c:v>
                </c:pt>
                <c:pt idx="209">
                  <c:v>1.701206226442159</c:v>
                </c:pt>
                <c:pt idx="210">
                  <c:v>1.689285215430312</c:v>
                </c:pt>
                <c:pt idx="211">
                  <c:v>1.6774876888012762</c:v>
                </c:pt>
                <c:pt idx="212">
                  <c:v>1.6658109634578624</c:v>
                </c:pt>
                <c:pt idx="213">
                  <c:v>1.6542524207963041</c:v>
                </c:pt>
                <c:pt idx="214">
                  <c:v>1.6425825651624224</c:v>
                </c:pt>
                <c:pt idx="215">
                  <c:v>1.6310303457397013</c:v>
                </c:pt>
                <c:pt idx="216">
                  <c:v>1.6195931802515415</c:v>
                </c:pt>
                <c:pt idx="217">
                  <c:v>1.6082685488125943</c:v>
                </c:pt>
                <c:pt idx="218">
                  <c:v>1.5967995502572507</c:v>
                </c:pt>
                <c:pt idx="219">
                  <c:v>1.585443136215563</c:v>
                </c:pt>
                <c:pt idx="220">
                  <c:v>1.5741968019588439</c:v>
                </c:pt>
                <c:pt idx="221">
                  <c:v>1.5630581037564337</c:v>
                </c:pt>
                <c:pt idx="222">
                  <c:v>1.5517798699845096</c:v>
                </c:pt>
                <c:pt idx="223">
                  <c:v>1.5406091479009454</c:v>
                </c:pt>
                <c:pt idx="224">
                  <c:v>1.5295435134815736</c:v>
                </c:pt>
                <c:pt idx="225">
                  <c:v>1.5185806021729538</c:v>
                </c:pt>
                <c:pt idx="226">
                  <c:v>1.507448653802768</c:v>
                </c:pt>
                <c:pt idx="227">
                  <c:v>1.4964197672676098</c:v>
                </c:pt>
                <c:pt idx="228">
                  <c:v>1.485491580484587</c:v>
                </c:pt>
                <c:pt idx="229">
                  <c:v>1.4746617898993473</c:v>
                </c:pt>
                <c:pt idx="230">
                  <c:v>1.4527733928463022</c:v>
                </c:pt>
                <c:pt idx="231">
                  <c:v>1.4419746910618394</c:v>
                </c:pt>
                <c:pt idx="232">
                  <c:v>1.4312699840006935</c:v>
                </c:pt>
                <c:pt idx="233">
                  <c:v>1.4204062493929337</c:v>
                </c:pt>
                <c:pt idx="234">
                  <c:v>1.4096364558038026</c:v>
                </c:pt>
                <c:pt idx="235">
                  <c:v>1.398958378513413</c:v>
                </c:pt>
                <c:pt idx="236">
                  <c:v>1.3883698489357466</c:v>
                </c:pt>
                <c:pt idx="237">
                  <c:v>1.3776565778423926</c:v>
                </c:pt>
                <c:pt idx="238">
                  <c:v>1.3670321360468882</c:v>
                </c:pt>
                <c:pt idx="239">
                  <c:v>1.3564943907111291</c:v>
                </c:pt>
                <c:pt idx="240">
                  <c:v>1.3460412631132921</c:v>
                </c:pt>
                <c:pt idx="241">
                  <c:v>1.3354066366000408</c:v>
                </c:pt>
                <c:pt idx="242">
                  <c:v>1.3248567494783225</c:v>
                </c:pt>
                <c:pt idx="243">
                  <c:v>1.3143895267288916</c:v>
                </c:pt>
                <c:pt idx="244">
                  <c:v>1.3040029465527225</c:v>
                </c:pt>
                <c:pt idx="245">
                  <c:v>1.2934674850217407</c:v>
                </c:pt>
                <c:pt idx="246">
                  <c:v>1.2830121717757921</c:v>
                </c:pt>
                <c:pt idx="247">
                  <c:v>1.2726350101166526</c:v>
                </c:pt>
                <c:pt idx="248">
                  <c:v>1.2623340549506732</c:v>
                </c:pt>
                <c:pt idx="249">
                  <c:v>1.2518588936264008</c:v>
                </c:pt>
                <c:pt idx="250">
                  <c:v>1.241459729008592</c:v>
                </c:pt>
                <c:pt idx="251">
                  <c:v>1.2311346289129224</c:v>
                </c:pt>
                <c:pt idx="252">
                  <c:v>1.2208817115938821</c:v>
                </c:pt>
                <c:pt idx="253">
                  <c:v>1.210484387310129</c:v>
                </c:pt>
                <c:pt idx="254">
                  <c:v>1.2001585219619075</c:v>
                </c:pt>
                <c:pt idx="255">
                  <c:v>1.1899022651693023</c:v>
                </c:pt>
                <c:pt idx="256">
                  <c:v>1.1797138152015394</c:v>
                </c:pt>
                <c:pt idx="257">
                  <c:v>1.169330041592652</c:v>
                </c:pt>
                <c:pt idx="258">
                  <c:v>1.1590139428909081</c:v>
                </c:pt>
                <c:pt idx="259">
                  <c:v>1.1487637239922999</c:v>
                </c:pt>
                <c:pt idx="260">
                  <c:v>1.1385776375584311</c:v>
                </c:pt>
                <c:pt idx="261">
                  <c:v>1.1282246120384885</c:v>
                </c:pt>
                <c:pt idx="262">
                  <c:v>1.1179351172197862</c:v>
                </c:pt>
                <c:pt idx="263">
                  <c:v>1.1077074298270257</c:v>
                </c:pt>
                <c:pt idx="264">
                  <c:v>1.0975398728667449</c:v>
                </c:pt>
                <c:pt idx="265">
                  <c:v>1.0872068206789001</c:v>
                </c:pt>
                <c:pt idx="266">
                  <c:v>1.076933199503459</c:v>
                </c:pt>
                <c:pt idx="267">
                  <c:v>1.0667173591534627</c:v>
                </c:pt>
                <c:pt idx="268">
                  <c:v>1.0565576941714827</c:v>
                </c:pt>
                <c:pt idx="269">
                  <c:v>1.0462092218549137</c:v>
                </c:pt>
                <c:pt idx="270">
                  <c:v>1.0359164009205237</c:v>
                </c:pt>
                <c:pt idx="271">
                  <c:v>1.0256776439789193</c:v>
                </c:pt>
                <c:pt idx="272">
                  <c:v>1.015491407169024</c:v>
                </c:pt>
                <c:pt idx="273">
                  <c:v>1.0051177545235275</c:v>
                </c:pt>
                <c:pt idx="274">
                  <c:v>0.99479598942847725</c:v>
                </c:pt>
                <c:pt idx="275">
                  <c:v>0.98452458943427068</c:v>
                </c:pt>
                <c:pt idx="276">
                  <c:v>0.97430207432553761</c:v>
                </c:pt>
                <c:pt idx="277">
                  <c:v>0.96391649319581663</c:v>
                </c:pt>
                <c:pt idx="278">
                  <c:v>0.95357885800732811</c:v>
                </c:pt>
                <c:pt idx="279">
                  <c:v>0.94328772252529947</c:v>
                </c:pt>
                <c:pt idx="280">
                  <c:v>0.93304168101821272</c:v>
                </c:pt>
                <c:pt idx="281">
                  <c:v>0.92256360209020938</c:v>
                </c:pt>
                <c:pt idx="282">
                  <c:v>0.91213021318194953</c:v>
                </c:pt>
                <c:pt idx="283">
                  <c:v>0.90174011660532027</c:v>
                </c:pt>
                <c:pt idx="284">
                  <c:v>0.89139195446178165</c:v>
                </c:pt>
                <c:pt idx="285">
                  <c:v>0.88088092273982532</c:v>
                </c:pt>
                <c:pt idx="286">
                  <c:v>0.87041076973469067</c:v>
                </c:pt>
                <c:pt idx="287">
                  <c:v>0.85998017546608074</c:v>
                </c:pt>
                <c:pt idx="288">
                  <c:v>0.84958785791570635</c:v>
                </c:pt>
                <c:pt idx="289">
                  <c:v>0.83896524306326048</c:v>
                </c:pt>
                <c:pt idx="290">
                  <c:v>0.82838029468299612</c:v>
                </c:pt>
                <c:pt idx="291">
                  <c:v>0.81783174566166406</c:v>
                </c:pt>
                <c:pt idx="292">
                  <c:v>0.80731836595333994</c:v>
                </c:pt>
                <c:pt idx="293">
                  <c:v>0.79659718264876811</c:v>
                </c:pt>
                <c:pt idx="294">
                  <c:v>0.78591032194246691</c:v>
                </c:pt>
                <c:pt idx="295">
                  <c:v>0.77525657961724104</c:v>
                </c:pt>
                <c:pt idx="296">
                  <c:v>0.76463478723289979</c:v>
                </c:pt>
                <c:pt idx="297">
                  <c:v>0.7538049370388844</c:v>
                </c:pt>
                <c:pt idx="298">
                  <c:v>0.74300613491406309</c:v>
                </c:pt>
                <c:pt idx="299">
                  <c:v>0.73223724036475801</c:v>
                </c:pt>
                <c:pt idx="300">
                  <c:v>0.72149714733612547</c:v>
                </c:pt>
                <c:pt idx="301">
                  <c:v>0.71054846967688201</c:v>
                </c:pt>
                <c:pt idx="302">
                  <c:v>0.69962764897809437</c:v>
                </c:pt>
                <c:pt idx="303">
                  <c:v>0.68873360890015278</c:v>
                </c:pt>
                <c:pt idx="304">
                  <c:v>0.67786530616924978</c:v>
                </c:pt>
                <c:pt idx="305">
                  <c:v>0.66674509669243731</c:v>
                </c:pt>
                <c:pt idx="306">
                  <c:v>0.65564983574566482</c:v>
                </c:pt>
                <c:pt idx="307">
                  <c:v>0.64457849968156999</c:v>
                </c:pt>
                <c:pt idx="308">
                  <c:v>0.63353009700457141</c:v>
                </c:pt>
                <c:pt idx="309">
                  <c:v>0.62227153923674017</c:v>
                </c:pt>
                <c:pt idx="310">
                  <c:v>0.61103490047700171</c:v>
                </c:pt>
                <c:pt idx="311">
                  <c:v>0.59981922249010411</c:v>
                </c:pt>
                <c:pt idx="312">
                  <c:v>0.58862357773784191</c:v>
                </c:pt>
                <c:pt idx="313">
                  <c:v>0.57717470227699486</c:v>
                </c:pt>
                <c:pt idx="314">
                  <c:v>0.56574497333686447</c:v>
                </c:pt>
                <c:pt idx="315">
                  <c:v>0.55433348773930247</c:v>
                </c:pt>
                <c:pt idx="316">
                  <c:v>0.54293937197351438</c:v>
                </c:pt>
                <c:pt idx="317">
                  <c:v>0.53129108086275056</c:v>
                </c:pt>
                <c:pt idx="318">
                  <c:v>0.51965923475849429</c:v>
                </c:pt>
                <c:pt idx="319">
                  <c:v>0.50804298678088478</c:v>
                </c:pt>
                <c:pt idx="320">
                  <c:v>0.49644151862791497</c:v>
                </c:pt>
                <c:pt idx="321">
                  <c:v>0.48458472366033922</c:v>
                </c:pt>
                <c:pt idx="322">
                  <c:v>0.47274175808866253</c:v>
                </c:pt>
                <c:pt idx="323">
                  <c:v>0.46091183217042486</c:v>
                </c:pt>
                <c:pt idx="324">
                  <c:v>0.44909418360374181</c:v>
                </c:pt>
                <c:pt idx="325">
                  <c:v>0.43701988454073687</c:v>
                </c:pt>
                <c:pt idx="326">
                  <c:v>0.42495689845500106</c:v>
                </c:pt>
                <c:pt idx="327">
                  <c:v>0.41290449321164652</c:v>
                </c:pt>
                <c:pt idx="328">
                  <c:v>0.40086196294220616</c:v>
                </c:pt>
                <c:pt idx="329">
                  <c:v>0.3885407570960811</c:v>
                </c:pt>
                <c:pt idx="330">
                  <c:v>0.37622848738533121</c:v>
                </c:pt>
                <c:pt idx="331">
                  <c:v>0.36392447609118922</c:v>
                </c:pt>
                <c:pt idx="332">
                  <c:v>0.35162807072547253</c:v>
                </c:pt>
                <c:pt idx="333">
                  <c:v>0.33907200053965297</c:v>
                </c:pt>
                <c:pt idx="334">
                  <c:v>0.32652256997011853</c:v>
                </c:pt>
                <c:pt idx="335">
                  <c:v>0.31397915937776788</c:v>
                </c:pt>
                <c:pt idx="336">
                  <c:v>0.30144117311836016</c:v>
                </c:pt>
                <c:pt idx="337">
                  <c:v>0.28860091028218054</c:v>
                </c:pt>
                <c:pt idx="338">
                  <c:v>0.27576514897510207</c:v>
                </c:pt>
                <c:pt idx="339">
                  <c:v>0.26293332184886953</c:v>
                </c:pt>
                <c:pt idx="340">
                  <c:v>0.25010488459308233</c:v>
                </c:pt>
                <c:pt idx="341">
                  <c:v>0.2369725142938649</c:v>
                </c:pt>
                <c:pt idx="342">
                  <c:v>0.22384261367930969</c:v>
                </c:pt>
                <c:pt idx="343">
                  <c:v>0.21071466848688739</c:v>
                </c:pt>
                <c:pt idx="344">
                  <c:v>0.19758818648304621</c:v>
                </c:pt>
                <c:pt idx="345">
                  <c:v>0.18417647870679055</c:v>
                </c:pt>
                <c:pt idx="346">
                  <c:v>0.17076532667517613</c:v>
                </c:pt>
                <c:pt idx="347">
                  <c:v>0.1573542716895594</c:v>
                </c:pt>
                <c:pt idx="348">
                  <c:v>0.1439428759042036</c:v>
                </c:pt>
                <c:pt idx="349">
                  <c:v>0.13020358301207896</c:v>
                </c:pt>
                <c:pt idx="350">
                  <c:v>0.11646306632373762</c:v>
                </c:pt>
                <c:pt idx="351">
                  <c:v>0.10272091856163595</c:v>
                </c:pt>
                <c:pt idx="352">
                  <c:v>8.8976752346641916E-2</c:v>
                </c:pt>
                <c:pt idx="353">
                  <c:v>7.4902868614969143E-2</c:v>
                </c:pt>
                <c:pt idx="354">
                  <c:v>6.0826108299561338E-2</c:v>
                </c:pt>
                <c:pt idx="355">
                  <c:v>4.6746115985459913E-2</c:v>
                </c:pt>
                <c:pt idx="356">
                  <c:v>3.2662555154696862E-2</c:v>
                </c:pt>
                <c:pt idx="357">
                  <c:v>1.8267922800180508E-2</c:v>
                </c:pt>
                <c:pt idx="358">
                  <c:v>3.8689117114587019E-3</c:v>
                </c:pt>
                <c:pt idx="359">
                  <c:v>-1.053478032627099E-2</c:v>
                </c:pt>
                <c:pt idx="360">
                  <c:v>-2.4943437769714319E-2</c:v>
                </c:pt>
                <c:pt idx="361">
                  <c:v>-3.970595269863407E-2</c:v>
                </c:pt>
                <c:pt idx="362">
                  <c:v>-5.4474225763975447E-2</c:v>
                </c:pt>
                <c:pt idx="363">
                  <c:v>-6.9248508829939909E-2</c:v>
                </c:pt>
                <c:pt idx="364">
                  <c:v>-8.4029036969049259E-2</c:v>
                </c:pt>
                <c:pt idx="365">
                  <c:v>-9.9144703922161306E-2</c:v>
                </c:pt>
                <c:pt idx="366">
                  <c:v>-0.11426734232386417</c:v>
                </c:pt>
                <c:pt idx="367">
                  <c:v>-0.12939715288937609</c:v>
                </c:pt>
                <c:pt idx="368">
                  <c:v>-0.14453432063404092</c:v>
                </c:pt>
                <c:pt idx="369">
                  <c:v>-0.16004949767422019</c:v>
                </c:pt>
                <c:pt idx="370">
                  <c:v>-0.1755727413338814</c:v>
                </c:pt>
                <c:pt idx="371">
                  <c:v>-0.19110420316681795</c:v>
                </c:pt>
                <c:pt idx="372">
                  <c:v>-0.20664401998126555</c:v>
                </c:pt>
                <c:pt idx="373">
                  <c:v>-0.22254297138527468</c:v>
                </c:pt>
                <c:pt idx="374">
                  <c:v>-0.23845090339097427</c:v>
                </c:pt>
                <c:pt idx="375">
                  <c:v>-0.25436791817423277</c:v>
                </c:pt>
                <c:pt idx="376">
                  <c:v>-0.27029410423252997</c:v>
                </c:pt>
                <c:pt idx="377">
                  <c:v>-0.28662235622083976</c:v>
                </c:pt>
                <c:pt idx="378">
                  <c:v>-0.3029603835582626</c:v>
                </c:pt>
                <c:pt idx="379">
                  <c:v>-0.31930824036161543</c:v>
                </c:pt>
                <c:pt idx="380">
                  <c:v>-0.33566596802920201</c:v>
                </c:pt>
                <c:pt idx="381">
                  <c:v>-0.35238591951899739</c:v>
                </c:pt>
                <c:pt idx="382">
                  <c:v>-0.36911622030782276</c:v>
                </c:pt>
                <c:pt idx="383">
                  <c:v>-0.38585687685234438</c:v>
                </c:pt>
                <c:pt idx="384">
                  <c:v>-0.40260788400649805</c:v>
                </c:pt>
                <c:pt idx="385">
                  <c:v>-0.41978475535864435</c:v>
                </c:pt>
                <c:pt idx="386">
                  <c:v>-0.43697245061411105</c:v>
                </c:pt>
                <c:pt idx="387">
                  <c:v>-0.4541709296156265</c:v>
                </c:pt>
                <c:pt idx="388">
                  <c:v>-0.47138014157311453</c:v>
                </c:pt>
                <c:pt idx="389">
                  <c:v>-0.4889957704945298</c:v>
                </c:pt>
                <c:pt idx="390">
                  <c:v>-0.50662249172927953</c:v>
                </c:pt>
                <c:pt idx="391">
                  <c:v>-0.52426021952833746</c:v>
                </c:pt>
                <c:pt idx="392">
                  <c:v>-0.54190885856557192</c:v>
                </c:pt>
                <c:pt idx="393">
                  <c:v>-0.55996503456860813</c:v>
                </c:pt>
                <c:pt idx="394">
                  <c:v>-0.57803238723461314</c:v>
                </c:pt>
                <c:pt idx="395">
                  <c:v>-0.59611078662153094</c:v>
                </c:pt>
                <c:pt idx="396">
                  <c:v>-0.61420009428475619</c:v>
                </c:pt>
                <c:pt idx="397">
                  <c:v>-0.63273971990400102</c:v>
                </c:pt>
                <c:pt idx="398">
                  <c:v>-0.65129047042967225</c:v>
                </c:pt>
                <c:pt idx="399">
                  <c:v>-0.6698521722159807</c:v>
                </c:pt>
                <c:pt idx="400">
                  <c:v>-0.68842464413514759</c:v>
                </c:pt>
                <c:pt idx="401">
                  <c:v>-0.70742730066097503</c:v>
                </c:pt>
                <c:pt idx="402">
                  <c:v>-0.72644081384781711</c:v>
                </c:pt>
                <c:pt idx="403">
                  <c:v>-0.74546496847427424</c:v>
                </c:pt>
                <c:pt idx="404">
                  <c:v>-0.76449954291433475</c:v>
                </c:pt>
                <c:pt idx="405">
                  <c:v>-0.78398586353344457</c:v>
                </c:pt>
                <c:pt idx="406">
                  <c:v>-0.8034826043729637</c:v>
                </c:pt>
                <c:pt idx="407">
                  <c:v>-0.82298950979009189</c:v>
                </c:pt>
                <c:pt idx="408">
                  <c:v>-0.84250631880101823</c:v>
                </c:pt>
                <c:pt idx="409">
                  <c:v>-0.86249629114595872</c:v>
                </c:pt>
                <c:pt idx="410">
                  <c:v>-0.88249607368236516</c:v>
                </c:pt>
                <c:pt idx="411">
                  <c:v>-0.90250537143592491</c:v>
                </c:pt>
                <c:pt idx="412">
                  <c:v>-0.9225238851498998</c:v>
                </c:pt>
                <c:pt idx="413">
                  <c:v>-0.94301569665278784</c:v>
                </c:pt>
                <c:pt idx="414">
                  <c:v>-0.96351651031142227</c:v>
                </c:pt>
                <c:pt idx="415">
                  <c:v>-0.98402599393028489</c:v>
                </c:pt>
                <c:pt idx="416">
                  <c:v>-1.0045438121048087</c:v>
                </c:pt>
                <c:pt idx="417">
                  <c:v>-1.0255559140589907</c:v>
                </c:pt>
                <c:pt idx="418">
                  <c:v>-1.0465760299181288</c:v>
                </c:pt>
                <c:pt idx="419">
                  <c:v>-1.0676037915564012</c:v>
                </c:pt>
                <c:pt idx="420">
                  <c:v>-1.0886388287100204</c:v>
                </c:pt>
                <c:pt idx="421">
                  <c:v>-1.1101465615236776</c:v>
                </c:pt>
                <c:pt idx="422">
                  <c:v>-1.1316611077246117</c:v>
                </c:pt>
                <c:pt idx="423">
                  <c:v>-1.1531820669595381</c:v>
                </c:pt>
                <c:pt idx="424">
                  <c:v>-1.1747090378185465</c:v>
                </c:pt>
                <c:pt idx="425">
                  <c:v>-1.1967715225206557</c:v>
                </c:pt>
                <c:pt idx="426">
                  <c:v>-1.2188394629659818</c:v>
                </c:pt>
                <c:pt idx="427">
                  <c:v>-1.2409124257443647</c:v>
                </c:pt>
                <c:pt idx="428">
                  <c:v>-1.2629899774599811</c:v>
                </c:pt>
                <c:pt idx="429">
                  <c:v>-1.2855808189196216</c:v>
                </c:pt>
                <c:pt idx="430">
                  <c:v>-1.3081755468288856</c:v>
                </c:pt>
                <c:pt idx="431">
                  <c:v>-1.3307736988237862</c:v>
                </c:pt>
                <c:pt idx="432">
                  <c:v>-1.3533748136271715</c:v>
                </c:pt>
                <c:pt idx="433">
                  <c:v>-1.3764878338566569</c:v>
                </c:pt>
                <c:pt idx="434">
                  <c:v>-1.3996029809395449</c:v>
                </c:pt>
                <c:pt idx="435">
                  <c:v>-1.422719766718106</c:v>
                </c:pt>
                <c:pt idx="436">
                  <c:v>-1.4458377051810558</c:v>
                </c:pt>
                <c:pt idx="437">
                  <c:v>-1.46950827628481</c:v>
                </c:pt>
                <c:pt idx="438">
                  <c:v>-1.4931790323980501</c:v>
                </c:pt>
                <c:pt idx="439">
                  <c:v>-1.5168494601757807</c:v>
                </c:pt>
                <c:pt idx="440">
                  <c:v>-1.5405190494804271</c:v>
                </c:pt>
                <c:pt idx="441">
                  <c:v>-1.5647391787017397</c:v>
                </c:pt>
                <c:pt idx="442">
                  <c:v>-1.5889573600819458</c:v>
                </c:pt>
                <c:pt idx="443">
                  <c:v>-1.6131730585384263</c:v>
                </c:pt>
                <c:pt idx="444">
                  <c:v>-1.6373857432402437</c:v>
                </c:pt>
                <c:pt idx="445">
                  <c:v>-1.6621464968765189</c:v>
                </c:pt>
                <c:pt idx="446">
                  <c:v>-1.6869029888643952</c:v>
                </c:pt>
                <c:pt idx="447">
                  <c:v>-1.7116546660246685</c:v>
                </c:pt>
                <c:pt idx="448">
                  <c:v>-1.7364009804470588</c:v>
                </c:pt>
                <c:pt idx="449">
                  <c:v>-1.7617349128331414</c:v>
                </c:pt>
                <c:pt idx="450">
                  <c:v>-1.7870620767038194</c:v>
                </c:pt>
                <c:pt idx="451">
                  <c:v>-1.8123819017249025</c:v>
                </c:pt>
                <c:pt idx="452">
                  <c:v>-1.83769382385392</c:v>
                </c:pt>
                <c:pt idx="453">
                  <c:v>-1.8635688934060655</c:v>
                </c:pt>
                <c:pt idx="454">
                  <c:v>-1.8894345265025114</c:v>
                </c:pt>
                <c:pt idx="455">
                  <c:v>-1.9152901410179917</c:v>
                </c:pt>
                <c:pt idx="456">
                  <c:v>-1.9411351620832449</c:v>
                </c:pt>
                <c:pt idx="457">
                  <c:v>-1.9675819604857445</c:v>
                </c:pt>
                <c:pt idx="458">
                  <c:v>-1.9940164610092304</c:v>
                </c:pt>
                <c:pt idx="459">
                  <c:v>-2.0204380709320438</c:v>
                </c:pt>
                <c:pt idx="460">
                  <c:v>-2.0468462057555676</c:v>
                </c:pt>
                <c:pt idx="461">
                  <c:v>-2.0738519713004893</c:v>
                </c:pt>
                <c:pt idx="462">
                  <c:v>-2.1008424182802261</c:v>
                </c:pt>
                <c:pt idx="463">
                  <c:v>-2.1278169475623097</c:v>
                </c:pt>
                <c:pt idx="464">
                  <c:v>-2.1547749691549396</c:v>
                </c:pt>
                <c:pt idx="465">
                  <c:v>-2.1823471207447986</c:v>
                </c:pt>
                <c:pt idx="466">
                  <c:v>-2.2099007607169492</c:v>
                </c:pt>
                <c:pt idx="467">
                  <c:v>-2.237435286398048</c:v>
                </c:pt>
                <c:pt idx="468">
                  <c:v>-2.2649501051447416</c:v>
                </c:pt>
                <c:pt idx="469">
                  <c:v>-2.2930740378460812</c:v>
                </c:pt>
                <c:pt idx="470">
                  <c:v>-2.3211761283142036</c:v>
                </c:pt>
                <c:pt idx="471">
                  <c:v>-2.3492557746731495</c:v>
                </c:pt>
                <c:pt idx="472">
                  <c:v>-2.3773123859023264</c:v>
                </c:pt>
                <c:pt idx="473">
                  <c:v>-2.4060145330396225</c:v>
                </c:pt>
                <c:pt idx="474">
                  <c:v>-2.43469131241091</c:v>
                </c:pt>
                <c:pt idx="475">
                  <c:v>-2.4633421246621916</c:v>
                </c:pt>
                <c:pt idx="476">
                  <c:v>-2.4919663821156073</c:v>
                </c:pt>
                <c:pt idx="477">
                  <c:v>-2.5212301687245193</c:v>
                </c:pt>
                <c:pt idx="478">
                  <c:v>-2.5504649393072567</c:v>
                </c:pt>
                <c:pt idx="479">
                  <c:v>-2.5796701015342509</c:v>
                </c:pt>
                <c:pt idx="480">
                  <c:v>-2.6088450754979831</c:v>
                </c:pt>
                <c:pt idx="481">
                  <c:v>-2.6386531864167018</c:v>
                </c:pt>
                <c:pt idx="482">
                  <c:v>-2.6684285294787635</c:v>
                </c:pt>
                <c:pt idx="483">
                  <c:v>-2.6981705238095319</c:v>
                </c:pt>
                <c:pt idx="484">
                  <c:v>-2.7278786016196532</c:v>
                </c:pt>
                <c:pt idx="485">
                  <c:v>-2.7582337129131234</c:v>
                </c:pt>
                <c:pt idx="486">
                  <c:v>-2.7885521702366871</c:v>
                </c:pt>
                <c:pt idx="487">
                  <c:v>-2.8188334073360259</c:v>
                </c:pt>
                <c:pt idx="488">
                  <c:v>-2.8490768716533186</c:v>
                </c:pt>
                <c:pt idx="489">
                  <c:v>-2.8800012123925423</c:v>
                </c:pt>
                <c:pt idx="490">
                  <c:v>-2.9108848300379826</c:v>
                </c:pt>
                <c:pt idx="491">
                  <c:v>-2.9417271750977214</c:v>
                </c:pt>
                <c:pt idx="492">
                  <c:v>-2.9725277123696099</c:v>
                </c:pt>
                <c:pt idx="493">
                  <c:v>-3.004001195433645</c:v>
                </c:pt>
                <c:pt idx="494">
                  <c:v>-3.0354298133541286</c:v>
                </c:pt>
                <c:pt idx="495">
                  <c:v>-3.0668130378559533</c:v>
                </c:pt>
                <c:pt idx="496">
                  <c:v>-3.0981503554495262</c:v>
                </c:pt>
                <c:pt idx="497">
                  <c:v>-3.1301726589632346</c:v>
                </c:pt>
                <c:pt idx="498">
                  <c:v>-3.1621458410471703</c:v>
                </c:pt>
                <c:pt idx="499">
                  <c:v>-3.19406939794596</c:v>
                </c:pt>
                <c:pt idx="500">
                  <c:v>-3.2259428411216682</c:v>
                </c:pt>
                <c:pt idx="501">
                  <c:v>-3.2585126696432609</c:v>
                </c:pt>
                <c:pt idx="502">
                  <c:v>-3.2910290144287457</c:v>
                </c:pt>
                <c:pt idx="503">
                  <c:v>-3.3234913995577378</c:v>
                </c:pt>
                <c:pt idx="504">
                  <c:v>-3.3558993646914987</c:v>
                </c:pt>
                <c:pt idx="505">
                  <c:v>-3.3889944132238723</c:v>
                </c:pt>
                <c:pt idx="506">
                  <c:v>-3.4220315891368442</c:v>
                </c:pt>
                <c:pt idx="507">
                  <c:v>-3.4550104484478137</c:v>
                </c:pt>
                <c:pt idx="508">
                  <c:v>-3.4879305630106066</c:v>
                </c:pt>
                <c:pt idx="509">
                  <c:v>-3.5215480764423939</c:v>
                </c:pt>
                <c:pt idx="510">
                  <c:v>-3.5551032493734747</c:v>
                </c:pt>
                <c:pt idx="511">
                  <c:v>-3.5885956728437822</c:v>
                </c:pt>
                <c:pt idx="512">
                  <c:v>-3.6220249539111959</c:v>
                </c:pt>
                <c:pt idx="513">
                  <c:v>-3.6561810679570068</c:v>
                </c:pt>
                <c:pt idx="514">
                  <c:v>-3.6902702264557528</c:v>
                </c:pt>
                <c:pt idx="515">
                  <c:v>-3.7242920578723604</c:v>
                </c:pt>
                <c:pt idx="516">
                  <c:v>-3.7582462068325162</c:v>
                </c:pt>
                <c:pt idx="517">
                  <c:v>-3.7929163804441828</c:v>
                </c:pt>
                <c:pt idx="518">
                  <c:v>-3.827514997657357</c:v>
                </c:pt>
                <c:pt idx="519">
                  <c:v>-3.8620417280775121</c:v>
                </c:pt>
                <c:pt idx="520">
                  <c:v>-3.8964962574972666</c:v>
                </c:pt>
                <c:pt idx="521">
                  <c:v>-3.931675196666407</c:v>
                </c:pt>
                <c:pt idx="522">
                  <c:v>-3.9667779301322783</c:v>
                </c:pt>
                <c:pt idx="523">
                  <c:v>-4.0018041715153752</c:v>
                </c:pt>
                <c:pt idx="524">
                  <c:v>-4.0367536505699606</c:v>
                </c:pt>
                <c:pt idx="525">
                  <c:v>-4.0724352858963169</c:v>
                </c:pt>
                <c:pt idx="526">
                  <c:v>-4.1080360286656328</c:v>
                </c:pt>
                <c:pt idx="527">
                  <c:v>-4.143555639280101</c:v>
                </c:pt>
                <c:pt idx="528">
                  <c:v>-4.1789938941413602</c:v>
                </c:pt>
                <c:pt idx="529">
                  <c:v>-4.2151714179034272</c:v>
                </c:pt>
                <c:pt idx="530">
                  <c:v>-4.2512633359010232</c:v>
                </c:pt>
                <c:pt idx="531">
                  <c:v>-4.287269457958959</c:v>
                </c:pt>
                <c:pt idx="532">
                  <c:v>-4.323189609685544</c:v>
                </c:pt>
                <c:pt idx="533">
                  <c:v>-4.359874421660848</c:v>
                </c:pt>
                <c:pt idx="534">
                  <c:v>-4.3964688063466122</c:v>
                </c:pt>
                <c:pt idx="535">
                  <c:v>-4.4329726252861752</c:v>
                </c:pt>
                <c:pt idx="536">
                  <c:v>-4.4693857555401371</c:v>
                </c:pt>
                <c:pt idx="537">
                  <c:v>-4.5065316900444961</c:v>
                </c:pt>
                <c:pt idx="538">
                  <c:v>-4.5435825588776471</c:v>
                </c:pt>
                <c:pt idx="539">
                  <c:v>-4.580538278075605</c:v>
                </c:pt>
                <c:pt idx="540">
                  <c:v>-4.6173987787800002</c:v>
                </c:pt>
                <c:pt idx="541">
                  <c:v>-4.6550346793507105</c:v>
                </c:pt>
                <c:pt idx="542">
                  <c:v>-4.692570692518351</c:v>
                </c:pt>
                <c:pt idx="543">
                  <c:v>-4.7300067907122276</c:v>
                </c:pt>
                <c:pt idx="544">
                  <c:v>-4.767342961036241</c:v>
                </c:pt>
                <c:pt idx="545">
                  <c:v>-4.8054405655713177</c:v>
                </c:pt>
                <c:pt idx="546">
                  <c:v>-4.8434335769104457</c:v>
                </c:pt>
                <c:pt idx="547">
                  <c:v>-4.8813220259963463</c:v>
                </c:pt>
                <c:pt idx="548">
                  <c:v>-4.9191059579054111</c:v>
                </c:pt>
                <c:pt idx="549">
                  <c:v>-4.9576553980996669</c:v>
                </c:pt>
                <c:pt idx="550">
                  <c:v>-4.9960955708631865</c:v>
                </c:pt>
                <c:pt idx="551">
                  <c:v>-5.0344265674262099</c:v>
                </c:pt>
                <c:pt idx="552">
                  <c:v>-5.0726484925351425</c:v>
                </c:pt>
                <c:pt idx="553">
                  <c:v>-5.1116573504315337</c:v>
                </c:pt>
                <c:pt idx="554">
                  <c:v>-5.150552204674165</c:v>
                </c:pt>
                <c:pt idx="555">
                  <c:v>-5.1893332085662971</c:v>
                </c:pt>
                <c:pt idx="556">
                  <c:v>-5.228000528259126</c:v>
                </c:pt>
                <c:pt idx="557">
                  <c:v>-5.3067956175056974</c:v>
                </c:pt>
                <c:pt idx="558">
                  <c:v>-5.3851168295336125</c:v>
                </c:pt>
                <c:pt idx="559">
                  <c:v>-5.46474493347662</c:v>
                </c:pt>
                <c:pt idx="560">
                  <c:v>-5.5438813563688214</c:v>
                </c:pt>
                <c:pt idx="561">
                  <c:v>-5.6243885291716991</c:v>
                </c:pt>
                <c:pt idx="562">
                  <c:v>-5.7043856495358378</c:v>
                </c:pt>
                <c:pt idx="563">
                  <c:v>-5.7855758789697393</c:v>
                </c:pt>
                <c:pt idx="564">
                  <c:v>-5.866240219880928</c:v>
                </c:pt>
                <c:pt idx="565">
                  <c:v>-5.9483957434665315</c:v>
                </c:pt>
                <c:pt idx="566">
                  <c:v>-6.0300059354054429</c:v>
                </c:pt>
                <c:pt idx="567">
                  <c:v>-6.1130614639869929</c:v>
                </c:pt>
                <c:pt idx="568">
                  <c:v>-6.1955530572989197</c:v>
                </c:pt>
                <c:pt idx="569">
                  <c:v>-6.2791181935934235</c:v>
                </c:pt>
                <c:pt idx="570">
                  <c:v>-6.3621062026494055</c:v>
                </c:pt>
                <c:pt idx="571">
                  <c:v>-6.446776460864446</c:v>
                </c:pt>
                <c:pt idx="572">
                  <c:v>-6.5308482689143048</c:v>
                </c:pt>
                <c:pt idx="573">
                  <c:v>-6.6159146119257537</c:v>
                </c:pt>
                <c:pt idx="574">
                  <c:v>-6.7003712704074614</c:v>
                </c:pt>
                <c:pt idx="575">
                  <c:v>-6.7864146442734192</c:v>
                </c:pt>
                <c:pt idx="576">
                  <c:v>-6.8718289555899972</c:v>
                </c:pt>
                <c:pt idx="577">
                  <c:v>-7.2266219004761201</c:v>
                </c:pt>
                <c:pt idx="578">
                  <c:v>-7.5707694354595692</c:v>
                </c:pt>
                <c:pt idx="579">
                  <c:v>-8.2901711876970356</c:v>
                </c:pt>
                <c:pt idx="580">
                  <c:v>-9.0297975523738856</c:v>
                </c:pt>
                <c:pt idx="581">
                  <c:v>-9.7875085158434079</c:v>
                </c:pt>
                <c:pt idx="582">
                  <c:v>-10.563076442155346</c:v>
                </c:pt>
                <c:pt idx="583">
                  <c:v>-11.355636575745917</c:v>
                </c:pt>
                <c:pt idx="584">
                  <c:v>-12.165964320606697</c:v>
                </c:pt>
                <c:pt idx="585">
                  <c:v>-12.994299202307268</c:v>
                </c:pt>
                <c:pt idx="586">
                  <c:v>-13.842040901384111</c:v>
                </c:pt>
                <c:pt idx="587">
                  <c:v>-14.711607484283206</c:v>
                </c:pt>
                <c:pt idx="588">
                  <c:v>-15.604887290033879</c:v>
                </c:pt>
                <c:pt idx="589">
                  <c:v>-16.526206231232521</c:v>
                </c:pt>
                <c:pt idx="590">
                  <c:v>-17.479887574415859</c:v>
                </c:pt>
                <c:pt idx="591">
                  <c:v>-18.471903439142054</c:v>
                </c:pt>
                <c:pt idx="592">
                  <c:v>-19.509433279147729</c:v>
                </c:pt>
                <c:pt idx="593">
                  <c:v>-20.601738171688062</c:v>
                </c:pt>
                <c:pt idx="594">
                  <c:v>-21.759265796436054</c:v>
                </c:pt>
                <c:pt idx="595">
                  <c:v>-22.994794334387741</c:v>
                </c:pt>
                <c:pt idx="596">
                  <c:v>-24.322227516245427</c:v>
                </c:pt>
                <c:pt idx="597">
                  <c:v>-25.75706148177705</c:v>
                </c:pt>
                <c:pt idx="598">
                  <c:v>-27.314180055157138</c:v>
                </c:pt>
                <c:pt idx="599">
                  <c:v>-29.007776138596405</c:v>
                </c:pt>
                <c:pt idx="600">
                  <c:v>-30.848209205962753</c:v>
                </c:pt>
              </c:numCache>
            </c:numRef>
          </c:yVal>
          <c:smooth val="1"/>
          <c:extLst>
            <c:ext xmlns:c16="http://schemas.microsoft.com/office/drawing/2014/chart" uri="{C3380CC4-5D6E-409C-BE32-E72D297353CC}">
              <c16:uniqueId val="{00000002-4B49-4ADE-B8CD-DD5F374AD671}"/>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6039.577385919717</c:v>
                </c:pt>
              </c:numCache>
            </c:numRef>
          </c:xVal>
          <c:yVal>
            <c:numRef>
              <c:f>'Stability Calculations'!$D$635</c:f>
              <c:numCache>
                <c:formatCode>0.00</c:formatCode>
                <c:ptCount val="1"/>
                <c:pt idx="0">
                  <c:v>4.0425134932986877</c:v>
                </c:pt>
              </c:numCache>
            </c:numRef>
          </c:yVal>
          <c:smooth val="1"/>
          <c:extLst>
            <c:ext xmlns:c16="http://schemas.microsoft.com/office/drawing/2014/chart" uri="{C3380CC4-5D6E-409C-BE32-E72D297353CC}">
              <c16:uniqueId val="{00000004-4B49-4ADE-B8CD-DD5F374AD671}"/>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0.000</c:formatCode>
                <c:ptCount val="1"/>
                <c:pt idx="0">
                  <c:v>9.2102150577479364E-2</c:v>
                </c:pt>
              </c:numCache>
            </c:numRef>
          </c:xVal>
          <c:yVal>
            <c:numRef>
              <c:f>'Stability Calculations'!$Q$624</c:f>
              <c:numCache>
                <c:formatCode>0.00</c:formatCode>
                <c:ptCount val="1"/>
                <c:pt idx="0">
                  <c:v>94.412873784999789</c:v>
                </c:pt>
              </c:numCache>
            </c:numRef>
          </c:yVal>
          <c:smooth val="1"/>
          <c:extLst>
            <c:ext xmlns:c16="http://schemas.microsoft.com/office/drawing/2014/chart" uri="{C3380CC4-5D6E-409C-BE32-E72D297353CC}">
              <c16:uniqueId val="{00000006-4B49-4ADE-B8CD-DD5F374AD671}"/>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53012.815686534734</c:v>
                </c:pt>
              </c:numCache>
            </c:numRef>
          </c:xVal>
          <c:yVal>
            <c:numRef>
              <c:f>'Stability Calculations'!$D$632</c:f>
              <c:numCache>
                <c:formatCode>0.00</c:formatCode>
                <c:ptCount val="1"/>
                <c:pt idx="0">
                  <c:v>-1.8827312018496456</c:v>
                </c:pt>
              </c:numCache>
            </c:numRef>
          </c:yVal>
          <c:smooth val="1"/>
          <c:extLst>
            <c:ext xmlns:c16="http://schemas.microsoft.com/office/drawing/2014/chart" uri="{C3380CC4-5D6E-409C-BE32-E72D297353CC}">
              <c16:uniqueId val="{00000008-4B49-4ADE-B8CD-DD5F374AD671}"/>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49-4ADE-B8CD-DD5F374AD671}"/>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16931376.944016635</c:v>
                </c:pt>
              </c:numCache>
            </c:numRef>
          </c:xVal>
          <c:yVal>
            <c:numRef>
              <c:f>'Stability Calculations'!$Q$623</c:f>
              <c:numCache>
                <c:formatCode>0.00</c:formatCode>
                <c:ptCount val="1"/>
                <c:pt idx="0">
                  <c:v>-118.5220259728915</c:v>
                </c:pt>
              </c:numCache>
            </c:numRef>
          </c:yVal>
          <c:smooth val="1"/>
          <c:extLst>
            <c:ext xmlns:c16="http://schemas.microsoft.com/office/drawing/2014/chart" uri="{C3380CC4-5D6E-409C-BE32-E72D297353CC}">
              <c16:uniqueId val="{0000000A-4B49-4ADE-B8CD-DD5F374AD671}"/>
            </c:ext>
          </c:extLst>
        </c:ser>
        <c:dLbls>
          <c:showLegendKey val="0"/>
          <c:showVal val="0"/>
          <c:showCatName val="0"/>
          <c:showSerName val="0"/>
          <c:showPercent val="0"/>
          <c:showBubbleSize val="0"/>
        </c:dLbls>
        <c:axId val="165647872"/>
        <c:axId val="1656497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-84.729513674844128</c:v>
                </c:pt>
                <c:pt idx="1">
                  <c:v>-85.189560774910731</c:v>
                </c:pt>
                <c:pt idx="2">
                  <c:v>-85.609473936222003</c:v>
                </c:pt>
                <c:pt idx="3">
                  <c:v>-85.992662938126614</c:v>
                </c:pt>
                <c:pt idx="4">
                  <c:v>-86.342041971861107</c:v>
                </c:pt>
                <c:pt idx="5">
                  <c:v>-86.661048529654238</c:v>
                </c:pt>
                <c:pt idx="6">
                  <c:v>-86.951835535536162</c:v>
                </c:pt>
                <c:pt idx="7">
                  <c:v>-87.217013613577919</c:v>
                </c:pt>
                <c:pt idx="8">
                  <c:v>-87.458603052579562</c:v>
                </c:pt>
                <c:pt idx="9">
                  <c:v>-87.67880943520322</c:v>
                </c:pt>
                <c:pt idx="10">
                  <c:v>-87.879346895559053</c:v>
                </c:pt>
                <c:pt idx="11">
                  <c:v>-88.061936204981151</c:v>
                </c:pt>
                <c:pt idx="12">
                  <c:v>-88.228200247388585</c:v>
                </c:pt>
                <c:pt idx="13">
                  <c:v>-88.379380120535899</c:v>
                </c:pt>
                <c:pt idx="14">
                  <c:v>-88.516876318671478</c:v>
                </c:pt>
                <c:pt idx="15">
                  <c:v>-88.64179208321913</c:v>
                </c:pt>
                <c:pt idx="16">
                  <c:v>-88.755194491020688</c:v>
                </c:pt>
                <c:pt idx="17">
                  <c:v>-88.858028448005555</c:v>
                </c:pt>
                <c:pt idx="18">
                  <c:v>-88.951193721047431</c:v>
                </c:pt>
                <c:pt idx="19">
                  <c:v>-89.035453232687431</c:v>
                </c:pt>
                <c:pt idx="20">
                  <c:v>-89.111537786558273</c:v>
                </c:pt>
                <c:pt idx="21">
                  <c:v>-89.18007668941938</c:v>
                </c:pt>
                <c:pt idx="22">
                  <c:v>-89.241665625147405</c:v>
                </c:pt>
                <c:pt idx="23">
                  <c:v>-89.296811753271228</c:v>
                </c:pt>
                <c:pt idx="24">
                  <c:v>-89.345996976148271</c:v>
                </c:pt>
                <c:pt idx="25">
                  <c:v>-89.389630057604975</c:v>
                </c:pt>
                <c:pt idx="26">
                  <c:v>-89.428090015308698</c:v>
                </c:pt>
                <c:pt idx="27">
                  <c:v>-89.461690232595629</c:v>
                </c:pt>
                <c:pt idx="28">
                  <c:v>-89.490718470466362</c:v>
                </c:pt>
                <c:pt idx="29">
                  <c:v>-89.515407943743583</c:v>
                </c:pt>
                <c:pt idx="30">
                  <c:v>-89.536008049891606</c:v>
                </c:pt>
                <c:pt idx="31">
                  <c:v>-89.552661015703237</c:v>
                </c:pt>
                <c:pt idx="32">
                  <c:v>-89.565520211329982</c:v>
                </c:pt>
                <c:pt idx="33">
                  <c:v>-89.574686408022842</c:v>
                </c:pt>
                <c:pt idx="34">
                  <c:v>-89.580245009956542</c:v>
                </c:pt>
                <c:pt idx="35">
                  <c:v>-89.582239451651773</c:v>
                </c:pt>
                <c:pt idx="36">
                  <c:v>-89.580688594823002</c:v>
                </c:pt>
                <c:pt idx="37">
                  <c:v>-89.575576419143786</c:v>
                </c:pt>
                <c:pt idx="38">
                  <c:v>-89.566864665878853</c:v>
                </c:pt>
                <c:pt idx="39">
                  <c:v>-89.554473447552439</c:v>
                </c:pt>
                <c:pt idx="40">
                  <c:v>-89.538301098528365</c:v>
                </c:pt>
                <c:pt idx="41">
                  <c:v>-89.518209444887191</c:v>
                </c:pt>
                <c:pt idx="42">
                  <c:v>-89.494031617753208</c:v>
                </c:pt>
                <c:pt idx="43">
                  <c:v>-89.4655552490769</c:v>
                </c:pt>
                <c:pt idx="44">
                  <c:v>-89.432546074176543</c:v>
                </c:pt>
                <c:pt idx="45">
                  <c:v>-89.394717522044033</c:v>
                </c:pt>
                <c:pt idx="46">
                  <c:v>-89.351756550413469</c:v>
                </c:pt>
                <c:pt idx="47">
                  <c:v>-89.303289555407332</c:v>
                </c:pt>
                <c:pt idx="48">
                  <c:v>-89.24891784861849</c:v>
                </c:pt>
                <c:pt idx="49">
                  <c:v>-89.188166758147787</c:v>
                </c:pt>
                <c:pt idx="50">
                  <c:v>-89.120530016082455</c:v>
                </c:pt>
                <c:pt idx="51">
                  <c:v>-89.0454169127851</c:v>
                </c:pt>
                <c:pt idx="52">
                  <c:v>-88.962214292390755</c:v>
                </c:pt>
                <c:pt idx="53">
                  <c:v>-88.870217072687922</c:v>
                </c:pt>
                <c:pt idx="54">
                  <c:v>-88.768715551269125</c:v>
                </c:pt>
                <c:pt idx="55">
                  <c:v>-88.656675562389282</c:v>
                </c:pt>
                <c:pt idx="56">
                  <c:v>-88.533299101822564</c:v>
                </c:pt>
                <c:pt idx="57">
                  <c:v>-88.397464070112406</c:v>
                </c:pt>
                <c:pt idx="58">
                  <c:v>-88.248127442297772</c:v>
                </c:pt>
                <c:pt idx="59">
                  <c:v>-88.083921022296195</c:v>
                </c:pt>
                <c:pt idx="60">
                  <c:v>-87.903558625463489</c:v>
                </c:pt>
                <c:pt idx="61">
                  <c:v>-87.70551229374864</c:v>
                </c:pt>
                <c:pt idx="62">
                  <c:v>-87.488013358512092</c:v>
                </c:pt>
                <c:pt idx="63">
                  <c:v>-87.249464330402418</c:v>
                </c:pt>
                <c:pt idx="64">
                  <c:v>-86.987705627994828</c:v>
                </c:pt>
                <c:pt idx="65">
                  <c:v>-86.700674780923705</c:v>
                </c:pt>
                <c:pt idx="66">
                  <c:v>-86.386002683643923</c:v>
                </c:pt>
                <c:pt idx="67">
                  <c:v>-86.041184814286893</c:v>
                </c:pt>
                <c:pt idx="68">
                  <c:v>-85.663345341575109</c:v>
                </c:pt>
                <c:pt idx="69">
                  <c:v>-85.249577328135274</c:v>
                </c:pt>
                <c:pt idx="70">
                  <c:v>-84.796550324076932</c:v>
                </c:pt>
                <c:pt idx="71">
                  <c:v>-84.300858908502391</c:v>
                </c:pt>
                <c:pt idx="72">
                  <c:v>-83.758643173061287</c:v>
                </c:pt>
                <c:pt idx="73">
                  <c:v>-83.166032163621949</c:v>
                </c:pt>
                <c:pt idx="74">
                  <c:v>-82.518623116931693</c:v>
                </c:pt>
                <c:pt idx="75">
                  <c:v>-81.812028684880644</c:v>
                </c:pt>
                <c:pt idx="76">
                  <c:v>-81.041391380746788</c:v>
                </c:pt>
                <c:pt idx="77">
                  <c:v>-80.202123710150573</c:v>
                </c:pt>
                <c:pt idx="78">
                  <c:v>-79.289312731531311</c:v>
                </c:pt>
                <c:pt idx="79">
                  <c:v>-78.298739118614179</c:v>
                </c:pt>
                <c:pt idx="80">
                  <c:v>-77.223968227815433</c:v>
                </c:pt>
                <c:pt idx="81">
                  <c:v>-76.062027535956616</c:v>
                </c:pt>
                <c:pt idx="82">
                  <c:v>-74.808281501303853</c:v>
                </c:pt>
                <c:pt idx="83">
                  <c:v>-73.460586534736279</c:v>
                </c:pt>
                <c:pt idx="84">
                  <c:v>-72.01597441103371</c:v>
                </c:pt>
                <c:pt idx="85">
                  <c:v>-70.474776806848084</c:v>
                </c:pt>
                <c:pt idx="86">
                  <c:v>-68.838208985194868</c:v>
                </c:pt>
                <c:pt idx="87">
                  <c:v>-67.109030751453474</c:v>
                </c:pt>
                <c:pt idx="88">
                  <c:v>-65.29527596021012</c:v>
                </c:pt>
                <c:pt idx="89">
                  <c:v>-63.404931035324672</c:v>
                </c:pt>
                <c:pt idx="90">
                  <c:v>-61.451398043245433</c:v>
                </c:pt>
                <c:pt idx="91">
                  <c:v>-59.450622458258486</c:v>
                </c:pt>
                <c:pt idx="92">
                  <c:v>-57.422293466916031</c:v>
                </c:pt>
                <c:pt idx="93">
                  <c:v>-55.388212751197933</c:v>
                </c:pt>
                <c:pt idx="94">
                  <c:v>-54.881920467082722</c:v>
                </c:pt>
                <c:pt idx="95">
                  <c:v>-54.627790995322698</c:v>
                </c:pt>
                <c:pt idx="96">
                  <c:v>-54.377023191684195</c:v>
                </c:pt>
                <c:pt idx="97">
                  <c:v>-54.123889381166705</c:v>
                </c:pt>
                <c:pt idx="98">
                  <c:v>-53.874209055961323</c:v>
                </c:pt>
                <c:pt idx="99">
                  <c:v>-53.622217600698818</c:v>
                </c:pt>
                <c:pt idx="100">
                  <c:v>-53.373771945835472</c:v>
                </c:pt>
                <c:pt idx="101">
                  <c:v>-53.123267280189381</c:v>
                </c:pt>
                <c:pt idx="102">
                  <c:v>-52.87639549599055</c:v>
                </c:pt>
                <c:pt idx="103">
                  <c:v>-52.627351379492048</c:v>
                </c:pt>
                <c:pt idx="104">
                  <c:v>-52.382032485039723</c:v>
                </c:pt>
                <c:pt idx="105">
                  <c:v>-52.1348044138646</c:v>
                </c:pt>
                <c:pt idx="106">
                  <c:v>-51.891387963288025</c:v>
                </c:pt>
                <c:pt idx="107">
                  <c:v>-51.646319380249864</c:v>
                </c:pt>
                <c:pt idx="108">
                  <c:v>-51.405142590295874</c:v>
                </c:pt>
                <c:pt idx="109">
                  <c:v>-51.162400176060622</c:v>
                </c:pt>
                <c:pt idx="110">
                  <c:v>-50.923628632057678</c:v>
                </c:pt>
                <c:pt idx="111">
                  <c:v>-50.683228580923831</c:v>
                </c:pt>
                <c:pt idx="112">
                  <c:v>-50.446882398489819</c:v>
                </c:pt>
                <c:pt idx="113">
                  <c:v>-50.209175775570408</c:v>
                </c:pt>
                <c:pt idx="114">
                  <c:v>-49.975598797951953</c:v>
                </c:pt>
                <c:pt idx="115">
                  <c:v>-49.740773524462945</c:v>
                </c:pt>
                <c:pt idx="116">
                  <c:v>-49.510151558575316</c:v>
                </c:pt>
                <c:pt idx="117">
                  <c:v>-49.278400815026764</c:v>
                </c:pt>
                <c:pt idx="118">
                  <c:v>-49.050924595808588</c:v>
                </c:pt>
                <c:pt idx="119">
                  <c:v>-48.822583034121564</c:v>
                </c:pt>
                <c:pt idx="120">
                  <c:v>-48.598579221974184</c:v>
                </c:pt>
                <c:pt idx="121">
                  <c:v>-48.373831983317366</c:v>
                </c:pt>
                <c:pt idx="122">
                  <c:v>-48.153482812168569</c:v>
                </c:pt>
                <c:pt idx="123">
                  <c:v>-47.932391045556258</c:v>
                </c:pt>
                <c:pt idx="124">
                  <c:v>-47.715759595369427</c:v>
                </c:pt>
                <c:pt idx="125">
                  <c:v>-47.498650029541864</c:v>
                </c:pt>
                <c:pt idx="126">
                  <c:v>-47.286054303697611</c:v>
                </c:pt>
                <c:pt idx="127">
                  <c:v>-47.073117452060082</c:v>
                </c:pt>
                <c:pt idx="128">
                  <c:v>-46.864744242928559</c:v>
                </c:pt>
                <c:pt idx="129">
                  <c:v>-46.656170721629692</c:v>
                </c:pt>
                <c:pt idx="130">
                  <c:v>-46.452206688188788</c:v>
                </c:pt>
                <c:pt idx="131">
                  <c:v>-46.248186386939608</c:v>
                </c:pt>
                <c:pt idx="132">
                  <c:v>-46.147925854652463</c:v>
                </c:pt>
                <c:pt idx="133">
                  <c:v>-46.048817244661457</c:v>
                </c:pt>
                <c:pt idx="134">
                  <c:v>-45.94853474028433</c:v>
                </c:pt>
                <c:pt idx="135">
                  <c:v>-45.849436864863371</c:v>
                </c:pt>
                <c:pt idx="136">
                  <c:v>-45.751512278230486</c:v>
                </c:pt>
                <c:pt idx="137">
                  <c:v>-45.654749740122519</c:v>
                </c:pt>
                <c:pt idx="138">
                  <c:v>-45.556980636006799</c:v>
                </c:pt>
                <c:pt idx="139">
                  <c:v>-45.460403484800885</c:v>
                </c:pt>
                <c:pt idx="140">
                  <c:v>-45.365006586499966</c:v>
                </c:pt>
                <c:pt idx="141">
                  <c:v>-45.270778349664383</c:v>
                </c:pt>
                <c:pt idx="142">
                  <c:v>-45.175514210293329</c:v>
                </c:pt>
                <c:pt idx="143">
                  <c:v>-45.081450579307678</c:v>
                </c:pt>
                <c:pt idx="144">
                  <c:v>-44.988575372485599</c:v>
                </c:pt>
                <c:pt idx="145">
                  <c:v>-44.896876623348732</c:v>
                </c:pt>
                <c:pt idx="146">
                  <c:v>-44.804259045997505</c:v>
                </c:pt>
                <c:pt idx="147">
                  <c:v>-44.71284809142967</c:v>
                </c:pt>
                <c:pt idx="148">
                  <c:v>-44.622631321679464</c:v>
                </c:pt>
                <c:pt idx="149">
                  <c:v>-44.533596425519661</c:v>
                </c:pt>
                <c:pt idx="150">
                  <c:v>-44.443713390927705</c:v>
                </c:pt>
                <c:pt idx="151">
                  <c:v>-44.355041845994421</c:v>
                </c:pt>
                <c:pt idx="152">
                  <c:v>-44.267569013046909</c:v>
                </c:pt>
                <c:pt idx="153">
                  <c:v>-44.181282250138082</c:v>
                </c:pt>
                <c:pt idx="154">
                  <c:v>-44.094179481254912</c:v>
                </c:pt>
                <c:pt idx="155">
                  <c:v>-44.008292912708249</c:v>
                </c:pt>
                <c:pt idx="156">
                  <c:v>-43.923609424490728</c:v>
                </c:pt>
                <c:pt idx="157">
                  <c:v>-43.840116041521242</c:v>
                </c:pt>
                <c:pt idx="158">
                  <c:v>-43.75588290368011</c:v>
                </c:pt>
                <c:pt idx="159">
                  <c:v>-43.672869322988383</c:v>
                </c:pt>
                <c:pt idx="160">
                  <c:v>-43.591061853959744</c:v>
                </c:pt>
                <c:pt idx="161">
                  <c:v>-43.510447205154939</c:v>
                </c:pt>
                <c:pt idx="162">
                  <c:v>-43.429205208203186</c:v>
                </c:pt>
                <c:pt idx="163">
                  <c:v>-43.349183693826248</c:v>
                </c:pt>
                <c:pt idx="164">
                  <c:v>-43.270368927166196</c:v>
                </c:pt>
                <c:pt idx="165">
                  <c:v>-43.192747336120974</c:v>
                </c:pt>
                <c:pt idx="166">
                  <c:v>-43.114506082297581</c:v>
                </c:pt>
                <c:pt idx="167">
                  <c:v>-43.037487024856375</c:v>
                </c:pt>
                <c:pt idx="168">
                  <c:v>-42.961676122486871</c:v>
                </c:pt>
                <c:pt idx="169">
                  <c:v>-42.88705950574208</c:v>
                </c:pt>
                <c:pt idx="170">
                  <c:v>-42.812060433620346</c:v>
                </c:pt>
                <c:pt idx="171">
                  <c:v>-42.738278741940803</c:v>
                </c:pt>
                <c:pt idx="172">
                  <c:v>-42.665700192894541</c:v>
                </c:pt>
                <c:pt idx="173">
                  <c:v>-42.594310727935557</c:v>
                </c:pt>
                <c:pt idx="174">
                  <c:v>-42.522341425332499</c:v>
                </c:pt>
                <c:pt idx="175">
                  <c:v>-42.451592560568528</c:v>
                </c:pt>
                <c:pt idx="176">
                  <c:v>-42.382049558443555</c:v>
                </c:pt>
                <c:pt idx="177">
                  <c:v>-42.313698032883316</c:v>
                </c:pt>
                <c:pt idx="178">
                  <c:v>-42.244886670045936</c:v>
                </c:pt>
                <c:pt idx="179">
                  <c:v>-42.177296124487142</c:v>
                </c:pt>
                <c:pt idx="180">
                  <c:v>-42.110911525500207</c:v>
                </c:pt>
                <c:pt idx="181">
                  <c:v>-42.045718200802035</c:v>
                </c:pt>
                <c:pt idx="182">
                  <c:v>-41.980433248409007</c:v>
                </c:pt>
                <c:pt idx="183">
                  <c:v>-41.916357482092749</c:v>
                </c:pt>
                <c:pt idx="184">
                  <c:v>-41.853475953313847</c:v>
                </c:pt>
                <c:pt idx="185">
                  <c:v>-41.791773917422475</c:v>
                </c:pt>
                <c:pt idx="186">
                  <c:v>-41.729591319831684</c:v>
                </c:pt>
                <c:pt idx="187">
                  <c:v>-41.668622952344371</c:v>
                </c:pt>
                <c:pt idx="188">
                  <c:v>-41.608853476947523</c:v>
                </c:pt>
                <c:pt idx="189">
                  <c:v>-41.550267770725327</c:v>
                </c:pt>
                <c:pt idx="190">
                  <c:v>-41.491766451002093</c:v>
                </c:pt>
                <c:pt idx="191">
                  <c:v>-41.434463471410474</c:v>
                </c:pt>
                <c:pt idx="192">
                  <c:v>-41.378343496700964</c:v>
                </c:pt>
                <c:pt idx="193">
                  <c:v>-41.323391410670915</c:v>
                </c:pt>
                <c:pt idx="194">
                  <c:v>-41.268197226151891</c:v>
                </c:pt>
                <c:pt idx="195">
                  <c:v>-41.214201409331721</c:v>
                </c:pt>
                <c:pt idx="196">
                  <c:v>-41.161388322107754</c:v>
                </c:pt>
                <c:pt idx="197">
                  <c:v>-41.109742555197577</c:v>
                </c:pt>
                <c:pt idx="198">
                  <c:v>-41.058156002356327</c:v>
                </c:pt>
                <c:pt idx="199">
                  <c:v>-41.007756633665799</c:v>
                </c:pt>
                <c:pt idx="200">
                  <c:v>-40.958528723259562</c:v>
                </c:pt>
                <c:pt idx="201">
                  <c:v>-40.910456779738098</c:v>
                </c:pt>
                <c:pt idx="202">
                  <c:v>-40.862532245593442</c:v>
                </c:pt>
                <c:pt idx="203">
                  <c:v>-40.815781811535643</c:v>
                </c:pt>
                <c:pt idx="204">
                  <c:v>-40.770189702570072</c:v>
                </c:pt>
                <c:pt idx="205">
                  <c:v>-40.72574038300025</c:v>
                </c:pt>
                <c:pt idx="206">
                  <c:v>-40.681372235712658</c:v>
                </c:pt>
                <c:pt idx="207">
                  <c:v>-40.638171246280621</c:v>
                </c:pt>
                <c:pt idx="208">
                  <c:v>-40.596121466081534</c:v>
                </c:pt>
                <c:pt idx="209">
                  <c:v>-40.555207193126947</c:v>
                </c:pt>
                <c:pt idx="210">
                  <c:v>-40.51434199962948</c:v>
                </c:pt>
                <c:pt idx="211">
                  <c:v>-40.474642354327187</c:v>
                </c:pt>
                <c:pt idx="212">
                  <c:v>-40.436092019455351</c:v>
                </c:pt>
                <c:pt idx="213">
                  <c:v>-40.398675013695645</c:v>
                </c:pt>
                <c:pt idx="214">
                  <c:v>-40.361663286065273</c:v>
                </c:pt>
                <c:pt idx="215">
                  <c:v>-40.325797735144732</c:v>
                </c:pt>
                <c:pt idx="216">
                  <c:v>-40.291062200667319</c:v>
                </c:pt>
                <c:pt idx="217">
                  <c:v>-40.257440780936392</c:v>
                </c:pt>
                <c:pt idx="218">
                  <c:v>-40.224188949790104</c:v>
                </c:pt>
                <c:pt idx="219">
                  <c:v>-40.192069777993979</c:v>
                </c:pt>
                <c:pt idx="220">
                  <c:v>-40.161067060877457</c:v>
                </c:pt>
                <c:pt idx="221">
                  <c:v>-40.131164856972646</c:v>
                </c:pt>
                <c:pt idx="222">
                  <c:v>-40.101717300340397</c:v>
                </c:pt>
                <c:pt idx="223">
                  <c:v>-40.073387000808566</c:v>
                </c:pt>
                <c:pt idx="224">
                  <c:v>-40.046157748932259</c:v>
                </c:pt>
                <c:pt idx="225">
                  <c:v>-40.020013602195156</c:v>
                </c:pt>
                <c:pt idx="226">
                  <c:v>-39.994327489648185</c:v>
                </c:pt>
                <c:pt idx="227">
                  <c:v>-39.969748169540246</c:v>
                </c:pt>
                <c:pt idx="228">
                  <c:v>-39.946259318017319</c:v>
                </c:pt>
                <c:pt idx="229">
                  <c:v>-39.923844884260873</c:v>
                </c:pt>
                <c:pt idx="230">
                  <c:v>-39.881214881235593</c:v>
                </c:pt>
                <c:pt idx="231">
                  <c:v>-39.861524589916606</c:v>
                </c:pt>
                <c:pt idx="232">
                  <c:v>-39.842895859394879</c:v>
                </c:pt>
                <c:pt idx="233">
                  <c:v>-39.824908025128963</c:v>
                </c:pt>
                <c:pt idx="234">
                  <c:v>-39.807999441109409</c:v>
                </c:pt>
                <c:pt idx="235">
                  <c:v>-39.792153688179361</c:v>
                </c:pt>
                <c:pt idx="236">
                  <c:v>-39.777354629448162</c:v>
                </c:pt>
                <c:pt idx="237">
                  <c:v>-39.763317610228953</c:v>
                </c:pt>
                <c:pt idx="238">
                  <c:v>-39.750337126893292</c:v>
                </c:pt>
                <c:pt idx="239">
                  <c:v>-39.738396913053997</c:v>
                </c:pt>
                <c:pt idx="240">
                  <c:v>-39.727480984545132</c:v>
                </c:pt>
                <c:pt idx="241">
                  <c:v>-39.717333407006855</c:v>
                </c:pt>
                <c:pt idx="242">
                  <c:v>-39.708229995252438</c:v>
                </c:pt>
                <c:pt idx="243">
                  <c:v>-39.700154395450674</c:v>
                </c:pt>
                <c:pt idx="244">
                  <c:v>-39.693090541437734</c:v>
                </c:pt>
                <c:pt idx="245">
                  <c:v>-39.68689934154218</c:v>
                </c:pt>
                <c:pt idx="246">
                  <c:v>-39.681732176412069</c:v>
                </c:pt>
                <c:pt idx="247">
                  <c:v>-39.677572781945365</c:v>
                </c:pt>
                <c:pt idx="248">
                  <c:v>-39.674405182984138</c:v>
                </c:pt>
                <c:pt idx="249">
                  <c:v>-39.672172299735514</c:v>
                </c:pt>
                <c:pt idx="250">
                  <c:v>-39.670947149243318</c:v>
                </c:pt>
                <c:pt idx="251">
                  <c:v>-39.670713462996595</c:v>
                </c:pt>
                <c:pt idx="252">
                  <c:v>-39.671455264881899</c:v>
                </c:pt>
                <c:pt idx="253">
                  <c:v>-39.673203136603448</c:v>
                </c:pt>
                <c:pt idx="254">
                  <c:v>-39.675935458134212</c:v>
                </c:pt>
                <c:pt idx="255">
                  <c:v>-39.679636121894532</c:v>
                </c:pt>
                <c:pt idx="256">
                  <c:v>-39.684289312148543</c:v>
                </c:pt>
                <c:pt idx="257">
                  <c:v>-39.690036636514506</c:v>
                </c:pt>
                <c:pt idx="258">
                  <c:v>-39.696753673510692</c:v>
                </c:pt>
                <c:pt idx="259">
                  <c:v>-39.704424263139728</c:v>
                </c:pt>
                <c:pt idx="260">
                  <c:v>-39.713032541799549</c:v>
                </c:pt>
                <c:pt idx="261">
                  <c:v>-39.722790132131131</c:v>
                </c:pt>
                <c:pt idx="262">
                  <c:v>-39.73349587679634</c:v>
                </c:pt>
                <c:pt idx="263">
                  <c:v>-39.745133726544218</c:v>
                </c:pt>
                <c:pt idx="264">
                  <c:v>-39.757687929079225</c:v>
                </c:pt>
                <c:pt idx="265">
                  <c:v>-39.77145214026396</c:v>
                </c:pt>
                <c:pt idx="266">
                  <c:v>-39.786141519108305</c:v>
                </c:pt>
                <c:pt idx="267">
                  <c:v>-39.801740160080264</c:v>
                </c:pt>
                <c:pt idx="268">
                  <c:v>-39.818232454292584</c:v>
                </c:pt>
                <c:pt idx="269">
                  <c:v>-39.836033401444645</c:v>
                </c:pt>
                <c:pt idx="270">
                  <c:v>-39.854739480830361</c:v>
                </c:pt>
                <c:pt idx="271">
                  <c:v>-39.874334850070625</c:v>
                </c:pt>
                <c:pt idx="272">
                  <c:v>-39.894803965079454</c:v>
                </c:pt>
                <c:pt idx="273">
                  <c:v>-39.916644823123981</c:v>
                </c:pt>
                <c:pt idx="274">
                  <c:v>-39.939369100217931</c:v>
                </c:pt>
                <c:pt idx="275">
                  <c:v>-39.962961054313944</c:v>
                </c:pt>
                <c:pt idx="276">
                  <c:v>-39.987405242357426</c:v>
                </c:pt>
                <c:pt idx="277">
                  <c:v>-40.013219532496031</c:v>
                </c:pt>
                <c:pt idx="278">
                  <c:v>-40.039890178394302</c:v>
                </c:pt>
                <c:pt idx="279">
                  <c:v>-40.067401676962255</c:v>
                </c:pt>
                <c:pt idx="280">
                  <c:v>-40.095738821254848</c:v>
                </c:pt>
                <c:pt idx="281">
                  <c:v>-40.1256873921362</c:v>
                </c:pt>
                <c:pt idx="282">
                  <c:v>-40.156475357177136</c:v>
                </c:pt>
                <c:pt idx="283">
                  <c:v>-40.188087171533553</c:v>
                </c:pt>
                <c:pt idx="284">
                  <c:v>-40.220507590789516</c:v>
                </c:pt>
                <c:pt idx="285">
                  <c:v>-40.254386550268094</c:v>
                </c:pt>
                <c:pt idx="286">
                  <c:v>-40.289075323934284</c:v>
                </c:pt>
                <c:pt idx="287">
                  <c:v>-40.324558666123075</c:v>
                </c:pt>
                <c:pt idx="288">
                  <c:v>-40.360821627128743</c:v>
                </c:pt>
                <c:pt idx="289">
                  <c:v>-40.39881718309249</c:v>
                </c:pt>
                <c:pt idx="290">
                  <c:v>-40.437602258163466</c:v>
                </c:pt>
                <c:pt idx="291">
                  <c:v>-40.477161638979695</c:v>
                </c:pt>
                <c:pt idx="292">
                  <c:v>-40.517480410548913</c:v>
                </c:pt>
                <c:pt idx="293">
                  <c:v>-40.559501586131937</c:v>
                </c:pt>
                <c:pt idx="294">
                  <c:v>-40.6022869970854</c:v>
                </c:pt>
                <c:pt idx="295">
                  <c:v>-40.645821595214464</c:v>
                </c:pt>
                <c:pt idx="296">
                  <c:v>-40.690090629672767</c:v>
                </c:pt>
                <c:pt idx="297">
                  <c:v>-40.736104022755818</c:v>
                </c:pt>
                <c:pt idx="298">
                  <c:v>-40.782855128671358</c:v>
                </c:pt>
                <c:pt idx="299">
                  <c:v>-40.830329094088434</c:v>
                </c:pt>
                <c:pt idx="300">
                  <c:v>-40.878511361225662</c:v>
                </c:pt>
                <c:pt idx="301">
                  <c:v>-40.928474985244769</c:v>
                </c:pt>
                <c:pt idx="302">
                  <c:v>-40.979148709901217</c:v>
                </c:pt>
                <c:pt idx="303">
                  <c:v>-41.030517903718049</c:v>
                </c:pt>
                <c:pt idx="304">
                  <c:v>-41.082568228257088</c:v>
                </c:pt>
                <c:pt idx="305">
                  <c:v>-41.13664066201742</c:v>
                </c:pt>
                <c:pt idx="306">
                  <c:v>-41.191399833562841</c:v>
                </c:pt>
                <c:pt idx="307">
                  <c:v>-41.246831192713238</c:v>
                </c:pt>
                <c:pt idx="308">
                  <c:v>-41.3029204836036</c:v>
                </c:pt>
                <c:pt idx="309">
                  <c:v>-41.360856094329357</c:v>
                </c:pt>
                <c:pt idx="310">
                  <c:v>-41.419448526663928</c:v>
                </c:pt>
                <c:pt idx="311">
                  <c:v>-41.478683509333166</c:v>
                </c:pt>
                <c:pt idx="312">
                  <c:v>-41.538547061390759</c:v>
                </c:pt>
                <c:pt idx="313">
                  <c:v>-41.600508136399498</c:v>
                </c:pt>
                <c:pt idx="314">
                  <c:v>-41.663100020354875</c:v>
                </c:pt>
                <c:pt idx="315">
                  <c:v>-41.726308586870772</c:v>
                </c:pt>
                <c:pt idx="316">
                  <c:v>-41.790119999569185</c:v>
                </c:pt>
                <c:pt idx="317">
                  <c:v>-41.856061127934673</c:v>
                </c:pt>
                <c:pt idx="318">
                  <c:v>-41.922605701110214</c:v>
                </c:pt>
                <c:pt idx="319">
                  <c:v>-41.989739770369042</c:v>
                </c:pt>
                <c:pt idx="320">
                  <c:v>-42.057449675862664</c:v>
                </c:pt>
                <c:pt idx="321">
                  <c:v>-42.127316355652617</c:v>
                </c:pt>
                <c:pt idx="322">
                  <c:v>-42.197757924779708</c:v>
                </c:pt>
                <c:pt idx="323">
                  <c:v>-42.268760642323421</c:v>
                </c:pt>
                <c:pt idx="324">
                  <c:v>-42.340311054365586</c:v>
                </c:pt>
                <c:pt idx="325">
                  <c:v>-42.414040391478096</c:v>
                </c:pt>
                <c:pt idx="326">
                  <c:v>-42.488315025643388</c:v>
                </c:pt>
                <c:pt idx="327">
                  <c:v>-42.563121451317947</c:v>
                </c:pt>
                <c:pt idx="328">
                  <c:v>-42.638446447403219</c:v>
                </c:pt>
                <c:pt idx="329">
                  <c:v>-42.716097909995177</c:v>
                </c:pt>
                <c:pt idx="330">
                  <c:v>-42.794265889858544</c:v>
                </c:pt>
                <c:pt idx="331">
                  <c:v>-42.872937076051016</c:v>
                </c:pt>
                <c:pt idx="332">
                  <c:v>-42.952098440763393</c:v>
                </c:pt>
                <c:pt idx="333">
                  <c:v>-43.033470819633656</c:v>
                </c:pt>
                <c:pt idx="334">
                  <c:v>-43.115328264789504</c:v>
                </c:pt>
                <c:pt idx="335">
                  <c:v>-43.197657753023449</c:v>
                </c:pt>
                <c:pt idx="336">
                  <c:v>-43.280446540423021</c:v>
                </c:pt>
                <c:pt idx="337">
                  <c:v>-43.365727750206354</c:v>
                </c:pt>
                <c:pt idx="338">
                  <c:v>-43.45146483865728</c:v>
                </c:pt>
                <c:pt idx="339">
                  <c:v>-43.537644969386278</c:v>
                </c:pt>
                <c:pt idx="340">
                  <c:v>-43.624255584462823</c:v>
                </c:pt>
                <c:pt idx="341">
                  <c:v>-43.713371448757101</c:v>
                </c:pt>
                <c:pt idx="342">
                  <c:v>-43.802912859336139</c:v>
                </c:pt>
                <c:pt idx="343">
                  <c:v>-43.892867198464586</c:v>
                </c:pt>
                <c:pt idx="344">
                  <c:v>-43.983222125281884</c:v>
                </c:pt>
                <c:pt idx="345">
                  <c:v>-44.07594863735185</c:v>
                </c:pt>
                <c:pt idx="346">
                  <c:v>-44.169068202808489</c:v>
                </c:pt>
                <c:pt idx="347">
                  <c:v>-44.262568507687</c:v>
                </c:pt>
                <c:pt idx="348">
                  <c:v>-44.356437510977031</c:v>
                </c:pt>
                <c:pt idx="349">
                  <c:v>-44.45296599248838</c:v>
                </c:pt>
                <c:pt idx="350">
                  <c:v>-44.549856646773812</c:v>
                </c:pt>
                <c:pt idx="351">
                  <c:v>-44.647097377371203</c:v>
                </c:pt>
                <c:pt idx="352">
                  <c:v>-44.74467635955763</c:v>
                </c:pt>
                <c:pt idx="353">
                  <c:v>-44.844917009418261</c:v>
                </c:pt>
                <c:pt idx="354">
                  <c:v>-44.945487969434794</c:v>
                </c:pt>
                <c:pt idx="355">
                  <c:v>-45.046377391635282</c:v>
                </c:pt>
                <c:pt idx="356">
                  <c:v>-45.147573697855144</c:v>
                </c:pt>
                <c:pt idx="357">
                  <c:v>-45.251281540717123</c:v>
                </c:pt>
                <c:pt idx="358">
                  <c:v>-45.355286187306795</c:v>
                </c:pt>
                <c:pt idx="359">
                  <c:v>-45.459576115344852</c:v>
                </c:pt>
                <c:pt idx="360">
                  <c:v>-45.564140068271499</c:v>
                </c:pt>
                <c:pt idx="361">
                  <c:v>-45.671505149580469</c:v>
                </c:pt>
                <c:pt idx="362">
                  <c:v>-45.779134594096554</c:v>
                </c:pt>
                <c:pt idx="363">
                  <c:v>-45.887017132537743</c:v>
                </c:pt>
                <c:pt idx="364">
                  <c:v>-45.995141759676812</c:v>
                </c:pt>
                <c:pt idx="365">
                  <c:v>-46.105908184851216</c:v>
                </c:pt>
                <c:pt idx="366">
                  <c:v>-46.216905138567782</c:v>
                </c:pt>
                <c:pt idx="367">
                  <c:v>-46.328121678507159</c:v>
                </c:pt>
                <c:pt idx="368">
                  <c:v>-46.439547122652719</c:v>
                </c:pt>
                <c:pt idx="369">
                  <c:v>-46.553903375360335</c:v>
                </c:pt>
                <c:pt idx="370">
                  <c:v>-46.66845698872693</c:v>
                </c:pt>
                <c:pt idx="371">
                  <c:v>-46.783197285143657</c:v>
                </c:pt>
                <c:pt idx="372">
                  <c:v>-46.898113845750729</c:v>
                </c:pt>
                <c:pt idx="373">
                  <c:v>-47.015793042830488</c:v>
                </c:pt>
                <c:pt idx="374">
                  <c:v>-47.133635308420558</c:v>
                </c:pt>
                <c:pt idx="375">
                  <c:v>-47.251630300153572</c:v>
                </c:pt>
                <c:pt idx="376">
                  <c:v>-47.369767930835039</c:v>
                </c:pt>
                <c:pt idx="377">
                  <c:v>-47.490954532462027</c:v>
                </c:pt>
                <c:pt idx="378">
                  <c:v>-47.612270241453622</c:v>
                </c:pt>
                <c:pt idx="379">
                  <c:v>-47.733704998020784</c:v>
                </c:pt>
                <c:pt idx="380">
                  <c:v>-47.855248995959101</c:v>
                </c:pt>
                <c:pt idx="381">
                  <c:v>-47.97951135113987</c:v>
                </c:pt>
                <c:pt idx="382">
                  <c:v>-48.103867795549434</c:v>
                </c:pt>
                <c:pt idx="383">
                  <c:v>-48.228308654370736</c:v>
                </c:pt>
                <c:pt idx="384">
                  <c:v>-48.352824501603266</c:v>
                </c:pt>
                <c:pt idx="385">
                  <c:v>-48.480494437586856</c:v>
                </c:pt>
                <c:pt idx="386">
                  <c:v>-48.60822385541789</c:v>
                </c:pt>
                <c:pt idx="387">
                  <c:v>-48.736003382675676</c:v>
                </c:pt>
                <c:pt idx="388">
                  <c:v>-48.863823894065398</c:v>
                </c:pt>
                <c:pt idx="389">
                  <c:v>-48.994614176730273</c:v>
                </c:pt>
                <c:pt idx="390">
                  <c:v>-49.125428794567689</c:v>
                </c:pt>
                <c:pt idx="391">
                  <c:v>-49.256258740422837</c:v>
                </c:pt>
                <c:pt idx="392">
                  <c:v>-49.387095250678804</c:v>
                </c:pt>
                <c:pt idx="393">
                  <c:v>-49.520868076301532</c:v>
                </c:pt>
                <c:pt idx="394">
                  <c:v>-49.654629987444594</c:v>
                </c:pt>
                <c:pt idx="395">
                  <c:v>-49.788372365681148</c:v>
                </c:pt>
                <c:pt idx="396">
                  <c:v>-49.922086831932432</c:v>
                </c:pt>
                <c:pt idx="397">
                  <c:v>-50.059010096729203</c:v>
                </c:pt>
                <c:pt idx="398">
                  <c:v>-50.195887025424952</c:v>
                </c:pt>
                <c:pt idx="399">
                  <c:v>-50.332709354152591</c:v>
                </c:pt>
                <c:pt idx="400">
                  <c:v>-50.469469055747652</c:v>
                </c:pt>
                <c:pt idx="401">
                  <c:v>-50.609242998085151</c:v>
                </c:pt>
                <c:pt idx="402">
                  <c:v>-50.748935207943646</c:v>
                </c:pt>
                <c:pt idx="403">
                  <c:v>-50.88853782981311</c:v>
                </c:pt>
                <c:pt idx="404">
                  <c:v>-51.028043240488124</c:v>
                </c:pt>
                <c:pt idx="405">
                  <c:v>-51.170673889019263</c:v>
                </c:pt>
                <c:pt idx="406">
                  <c:v>-51.313187339452931</c:v>
                </c:pt>
                <c:pt idx="407">
                  <c:v>-51.455576141334511</c:v>
                </c:pt>
                <c:pt idx="408">
                  <c:v>-51.597833072500265</c:v>
                </c:pt>
                <c:pt idx="409">
                  <c:v>-51.74332220256747</c:v>
                </c:pt>
                <c:pt idx="410">
                  <c:v>-51.88865851731515</c:v>
                </c:pt>
                <c:pt idx="411">
                  <c:v>-52.033834971862142</c:v>
                </c:pt>
                <c:pt idx="412">
                  <c:v>-52.178844745883744</c:v>
                </c:pt>
                <c:pt idx="413">
                  <c:v>-52.327036773443886</c:v>
                </c:pt>
                <c:pt idx="414">
                  <c:v>-52.475040550524945</c:v>
                </c:pt>
                <c:pt idx="415">
                  <c:v>-52.622849461891725</c:v>
                </c:pt>
                <c:pt idx="416">
                  <c:v>-52.770457112415144</c:v>
                </c:pt>
                <c:pt idx="417">
                  <c:v>-52.921346213747924</c:v>
                </c:pt>
                <c:pt idx="418">
                  <c:v>-53.072011525259214</c:v>
                </c:pt>
                <c:pt idx="419">
                  <c:v>-53.222446864016781</c:v>
                </c:pt>
                <c:pt idx="420">
                  <c:v>-53.372646262928519</c:v>
                </c:pt>
                <c:pt idx="421">
                  <c:v>-53.525920171389672</c:v>
                </c:pt>
                <c:pt idx="422">
                  <c:v>-53.678935638189699</c:v>
                </c:pt>
                <c:pt idx="423">
                  <c:v>-53.831686951496877</c:v>
                </c:pt>
                <c:pt idx="424">
                  <c:v>-53.984168609509688</c:v>
                </c:pt>
                <c:pt idx="425">
                  <c:v>-54.140117048385143</c:v>
                </c:pt>
                <c:pt idx="426">
                  <c:v>-54.295771354705984</c:v>
                </c:pt>
                <c:pt idx="427">
                  <c:v>-54.451126257867379</c:v>
                </c:pt>
                <c:pt idx="428">
                  <c:v>-54.606176693239028</c:v>
                </c:pt>
                <c:pt idx="429">
                  <c:v>-54.764481628901315</c:v>
                </c:pt>
                <c:pt idx="430">
                  <c:v>-54.922457806722477</c:v>
                </c:pt>
                <c:pt idx="431">
                  <c:v>-55.080100434524795</c:v>
                </c:pt>
                <c:pt idx="432">
                  <c:v>-55.237404920477545</c:v>
                </c:pt>
                <c:pt idx="433">
                  <c:v>-55.397900058192569</c:v>
                </c:pt>
                <c:pt idx="434">
                  <c:v>-55.558032547567215</c:v>
                </c:pt>
                <c:pt idx="435">
                  <c:v>-55.717798091172263</c:v>
                </c:pt>
                <c:pt idx="436">
                  <c:v>-55.877192585618914</c:v>
                </c:pt>
                <c:pt idx="437">
                  <c:v>-56.040004111084258</c:v>
                </c:pt>
                <c:pt idx="438">
                  <c:v>-56.202418550422486</c:v>
                </c:pt>
                <c:pt idx="439">
                  <c:v>-56.364432093880112</c:v>
                </c:pt>
                <c:pt idx="440">
                  <c:v>-56.526041120140825</c:v>
                </c:pt>
                <c:pt idx="441">
                  <c:v>-56.690996245314089</c:v>
                </c:pt>
                <c:pt idx="442">
                  <c:v>-56.855520674708593</c:v>
                </c:pt>
                <c:pt idx="443">
                  <c:v>-57.019611103259741</c:v>
                </c:pt>
                <c:pt idx="444">
                  <c:v>-57.18326440797388</c:v>
                </c:pt>
                <c:pt idx="445">
                  <c:v>-57.350191636541297</c:v>
                </c:pt>
                <c:pt idx="446">
                  <c:v>-57.516655542990641</c:v>
                </c:pt>
                <c:pt idx="447">
                  <c:v>-57.682653340166198</c:v>
                </c:pt>
                <c:pt idx="448">
                  <c:v>-57.848182415915446</c:v>
                </c:pt>
                <c:pt idx="449">
                  <c:v>-58.017194778618432</c:v>
                </c:pt>
                <c:pt idx="450">
                  <c:v>-58.18571065221586</c:v>
                </c:pt>
                <c:pt idx="451">
                  <c:v>-58.353727765990207</c:v>
                </c:pt>
                <c:pt idx="452">
                  <c:v>-58.521244017627716</c:v>
                </c:pt>
                <c:pt idx="453">
                  <c:v>-58.692025170564904</c:v>
                </c:pt>
                <c:pt idx="454">
                  <c:v>-58.862278641208249</c:v>
                </c:pt>
                <c:pt idx="455">
                  <c:v>-59.03200269192439</c:v>
                </c:pt>
                <c:pt idx="456">
                  <c:v>-59.201195745610853</c:v>
                </c:pt>
                <c:pt idx="457">
                  <c:v>-59.373852486590543</c:v>
                </c:pt>
                <c:pt idx="458">
                  <c:v>-59.545949875655289</c:v>
                </c:pt>
                <c:pt idx="459">
                  <c:v>-59.717486708151959</c:v>
                </c:pt>
                <c:pt idx="460">
                  <c:v>-59.888461932453104</c:v>
                </c:pt>
                <c:pt idx="461">
                  <c:v>-60.062818381690136</c:v>
                </c:pt>
                <c:pt idx="462">
                  <c:v>-60.236585123123795</c:v>
                </c:pt>
                <c:pt idx="463">
                  <c:v>-60.409761492902874</c:v>
                </c:pt>
                <c:pt idx="464">
                  <c:v>-60.582346971997929</c:v>
                </c:pt>
                <c:pt idx="465">
                  <c:v>-60.758365201560657</c:v>
                </c:pt>
                <c:pt idx="466">
                  <c:v>-60.933763859675068</c:v>
                </c:pt>
                <c:pt idx="467">
                  <c:v>-61.108542826946142</c:v>
                </c:pt>
                <c:pt idx="468">
                  <c:v>-61.282702120386659</c:v>
                </c:pt>
                <c:pt idx="469">
                  <c:v>-61.460208827024196</c:v>
                </c:pt>
                <c:pt idx="470">
                  <c:v>-61.6370676035272</c:v>
                </c:pt>
                <c:pt idx="471">
                  <c:v>-61.813278877652174</c:v>
                </c:pt>
                <c:pt idx="472">
                  <c:v>-61.988843204527591</c:v>
                </c:pt>
                <c:pt idx="473">
                  <c:v>-62.167930514583347</c:v>
                </c:pt>
                <c:pt idx="474">
                  <c:v>-62.346341174636414</c:v>
                </c:pt>
                <c:pt idx="475">
                  <c:v>-62.52407616284232</c:v>
                </c:pt>
                <c:pt idx="476">
                  <c:v>-62.701136575833914</c:v>
                </c:pt>
                <c:pt idx="477">
                  <c:v>-62.881629581967701</c:v>
                </c:pt>
                <c:pt idx="478">
                  <c:v>-63.061418861116707</c:v>
                </c:pt>
                <c:pt idx="479">
                  <c:v>-63.240505941843224</c:v>
                </c:pt>
                <c:pt idx="480">
                  <c:v>-63.418892461681295</c:v>
                </c:pt>
                <c:pt idx="481">
                  <c:v>-63.600621893440803</c:v>
                </c:pt>
                <c:pt idx="482">
                  <c:v>-63.781622259414974</c:v>
                </c:pt>
                <c:pt idx="483">
                  <c:v>-63.961895634477592</c:v>
                </c:pt>
                <c:pt idx="484">
                  <c:v>-64.141444192455808</c:v>
                </c:pt>
                <c:pt idx="485">
                  <c:v>-64.324371238261179</c:v>
                </c:pt>
                <c:pt idx="486">
                  <c:v>-64.506544670027353</c:v>
                </c:pt>
                <c:pt idx="487">
                  <c:v>-64.687967106431685</c:v>
                </c:pt>
                <c:pt idx="488">
                  <c:v>-64.868641254907885</c:v>
                </c:pt>
                <c:pt idx="489">
                  <c:v>-65.052847769823401</c:v>
                </c:pt>
                <c:pt idx="490">
                  <c:v>-65.236275924377111</c:v>
                </c:pt>
                <c:pt idx="491">
                  <c:v>-65.418928884393708</c:v>
                </c:pt>
                <c:pt idx="492">
                  <c:v>-65.600809894269872</c:v>
                </c:pt>
                <c:pt idx="493">
                  <c:v>-65.786127864309549</c:v>
                </c:pt>
                <c:pt idx="494">
                  <c:v>-65.970644644393175</c:v>
                </c:pt>
                <c:pt idx="495">
                  <c:v>-66.154363938406846</c:v>
                </c:pt>
                <c:pt idx="496">
                  <c:v>-66.337289518183809</c:v>
                </c:pt>
                <c:pt idx="497">
                  <c:v>-66.523676280464755</c:v>
                </c:pt>
                <c:pt idx="498">
                  <c:v>-66.70923995469073</c:v>
                </c:pt>
                <c:pt idx="499">
                  <c:v>-66.893984778036796</c:v>
                </c:pt>
                <c:pt idx="500">
                  <c:v>-67.077915044809785</c:v>
                </c:pt>
                <c:pt idx="501">
                  <c:v>-67.265327265751438</c:v>
                </c:pt>
                <c:pt idx="502">
                  <c:v>-67.451895478301196</c:v>
                </c:pt>
                <c:pt idx="503">
                  <c:v>-67.637624447130577</c:v>
                </c:pt>
                <c:pt idx="504">
                  <c:v>-67.822518983044887</c:v>
                </c:pt>
                <c:pt idx="505">
                  <c:v>-68.010799054731265</c:v>
                </c:pt>
                <c:pt idx="506">
                  <c:v>-68.198216264358749</c:v>
                </c:pt>
                <c:pt idx="507">
                  <c:v>-68.384775887530793</c:v>
                </c:pt>
                <c:pt idx="508">
                  <c:v>-68.57048323473802</c:v>
                </c:pt>
                <c:pt idx="509">
                  <c:v>-68.759593680222821</c:v>
                </c:pt>
                <c:pt idx="510">
                  <c:v>-68.947823457950719</c:v>
                </c:pt>
                <c:pt idx="511">
                  <c:v>-69.135178344900751</c:v>
                </c:pt>
                <c:pt idx="512">
                  <c:v>-69.32166414160821</c:v>
                </c:pt>
                <c:pt idx="513">
                  <c:v>-69.511677485047286</c:v>
                </c:pt>
                <c:pt idx="514">
                  <c:v>-69.700792399535999</c:v>
                </c:pt>
                <c:pt idx="515">
                  <c:v>-69.889015163735507</c:v>
                </c:pt>
                <c:pt idx="516">
                  <c:v>-70.076352068491545</c:v>
                </c:pt>
                <c:pt idx="517">
                  <c:v>-70.267117683710964</c:v>
                </c:pt>
                <c:pt idx="518">
                  <c:v>-70.456969278313721</c:v>
                </c:pt>
                <c:pt idx="519">
                  <c:v>-70.645913610585083</c:v>
                </c:pt>
                <c:pt idx="520">
                  <c:v>-70.833957439524156</c:v>
                </c:pt>
                <c:pt idx="521">
                  <c:v>-71.025439441664389</c:v>
                </c:pt>
                <c:pt idx="522">
                  <c:v>-71.215992973707202</c:v>
                </c:pt>
                <c:pt idx="523">
                  <c:v>-71.405625260615082</c:v>
                </c:pt>
                <c:pt idx="524">
                  <c:v>-71.594343516581489</c:v>
                </c:pt>
                <c:pt idx="525">
                  <c:v>-71.786507098595763</c:v>
                </c:pt>
                <c:pt idx="526">
                  <c:v>-71.977728926996406</c:v>
                </c:pt>
                <c:pt idx="527">
                  <c:v>-72.168016679334855</c:v>
                </c:pt>
                <c:pt idx="528">
                  <c:v>-72.357378010929409</c:v>
                </c:pt>
                <c:pt idx="529">
                  <c:v>-72.550189703438036</c:v>
                </c:pt>
                <c:pt idx="530">
                  <c:v>-72.742047544632939</c:v>
                </c:pt>
                <c:pt idx="531">
                  <c:v>-72.932959649434224</c:v>
                </c:pt>
                <c:pt idx="532">
                  <c:v>-73.122934099116193</c:v>
                </c:pt>
                <c:pt idx="533">
                  <c:v>-73.316461627607481</c:v>
                </c:pt>
                <c:pt idx="534">
                  <c:v>-73.509023416528009</c:v>
                </c:pt>
                <c:pt idx="535">
                  <c:v>-73.700628015033715</c:v>
                </c:pt>
                <c:pt idx="536">
                  <c:v>-73.891283927214999</c:v>
                </c:pt>
                <c:pt idx="537">
                  <c:v>-74.085296030975769</c:v>
                </c:pt>
                <c:pt idx="538">
                  <c:v>-74.278333721415393</c:v>
                </c:pt>
                <c:pt idx="539">
                  <c:v>-74.470405938042106</c:v>
                </c:pt>
                <c:pt idx="540">
                  <c:v>-74.661521564189457</c:v>
                </c:pt>
                <c:pt idx="541">
                  <c:v>-74.856187524150926</c:v>
                </c:pt>
                <c:pt idx="542">
                  <c:v>-75.049869641271869</c:v>
                </c:pt>
                <c:pt idx="543">
                  <c:v>-75.242577254062638</c:v>
                </c:pt>
                <c:pt idx="544">
                  <c:v>-75.434319633686869</c:v>
                </c:pt>
                <c:pt idx="545">
                  <c:v>-75.62951412458348</c:v>
                </c:pt>
                <c:pt idx="546">
                  <c:v>-75.823717562272449</c:v>
                </c:pt>
                <c:pt idx="547">
                  <c:v>-76.016939651262589</c:v>
                </c:pt>
                <c:pt idx="548">
                  <c:v>-76.209190017858333</c:v>
                </c:pt>
                <c:pt idx="549">
                  <c:v>-76.404889752742505</c:v>
                </c:pt>
                <c:pt idx="550">
                  <c:v>-76.599592442590804</c:v>
                </c:pt>
                <c:pt idx="551">
                  <c:v>-76.793308137678665</c:v>
                </c:pt>
                <c:pt idx="552">
                  <c:v>-76.986046799460198</c:v>
                </c:pt>
                <c:pt idx="553">
                  <c:v>-77.182321123009856</c:v>
                </c:pt>
                <c:pt idx="554">
                  <c:v>-77.377592702454507</c:v>
                </c:pt>
                <c:pt idx="555">
                  <c:v>-77.571871927126679</c:v>
                </c:pt>
                <c:pt idx="556">
                  <c:v>-77.765169087014371</c:v>
                </c:pt>
                <c:pt idx="557">
                  <c:v>-78.15781283730422</c:v>
                </c:pt>
                <c:pt idx="558">
                  <c:v>-78.546470537639806</c:v>
                </c:pt>
                <c:pt idx="559">
                  <c:v>-78.940000568640542</c:v>
                </c:pt>
                <c:pt idx="560">
                  <c:v>-79.329536345784405</c:v>
                </c:pt>
                <c:pt idx="561">
                  <c:v>-79.724266924687683</c:v>
                </c:pt>
                <c:pt idx="562">
                  <c:v>-80.114992796187593</c:v>
                </c:pt>
                <c:pt idx="563">
                  <c:v>-80.510060974105926</c:v>
                </c:pt>
                <c:pt idx="564">
                  <c:v>-80.901135493257385</c:v>
                </c:pt>
                <c:pt idx="565">
                  <c:v>-81.29801737655967</c:v>
                </c:pt>
                <c:pt idx="566">
                  <c:v>-81.690891084560675</c:v>
                </c:pt>
                <c:pt idx="567">
                  <c:v>-82.089364950322931</c:v>
                </c:pt>
                <c:pt idx="568">
                  <c:v>-82.48382485174406</c:v>
                </c:pt>
                <c:pt idx="569">
                  <c:v>-82.882136561662236</c:v>
                </c:pt>
                <c:pt idx="570">
                  <c:v>-83.27646771481156</c:v>
                </c:pt>
                <c:pt idx="571">
                  <c:v>-83.677577367244169</c:v>
                </c:pt>
                <c:pt idx="572">
                  <c:v>-84.074685137860129</c:v>
                </c:pt>
                <c:pt idx="573">
                  <c:v>-84.475354884556864</c:v>
                </c:pt>
                <c:pt idx="574">
                  <c:v>-84.872069734248441</c:v>
                </c:pt>
                <c:pt idx="575">
                  <c:v>-85.275175569264348</c:v>
                </c:pt>
                <c:pt idx="576">
                  <c:v>-85.674320967678398</c:v>
                </c:pt>
                <c:pt idx="577">
                  <c:v>-87.322487167811218</c:v>
                </c:pt>
                <c:pt idx="578">
                  <c:v>-88.908346477252778</c:v>
                </c:pt>
                <c:pt idx="579">
                  <c:v>-92.194697119740013</c:v>
                </c:pt>
                <c:pt idx="580">
                  <c:v>-95.553172332875818</c:v>
                </c:pt>
                <c:pt idx="581">
                  <c:v>-98.996395756312367</c:v>
                </c:pt>
                <c:pt idx="582">
                  <c:v>-102.54670884662592</c:v>
                </c:pt>
                <c:pt idx="583">
                  <c:v>-106.22407493448974</c:v>
                </c:pt>
                <c:pt idx="584">
                  <c:v>-110.05614044746181</c:v>
                </c:pt>
                <c:pt idx="585">
                  <c:v>-114.06772147955475</c:v>
                </c:pt>
                <c:pt idx="586">
                  <c:v>-118.28824987707461</c:v>
                </c:pt>
                <c:pt idx="587">
                  <c:v>-122.75081258867927</c:v>
                </c:pt>
                <c:pt idx="588">
                  <c:v>-127.48334586290449</c:v>
                </c:pt>
                <c:pt idx="589">
                  <c:v>-132.52293673100897</c:v>
                </c:pt>
                <c:pt idx="590">
                  <c:v>-137.90167617045179</c:v>
                </c:pt>
                <c:pt idx="591">
                  <c:v>-143.65347258710418</c:v>
                </c:pt>
                <c:pt idx="592">
                  <c:v>-149.80904460708089</c:v>
                </c:pt>
                <c:pt idx="593">
                  <c:v>-156.39770192058577</c:v>
                </c:pt>
                <c:pt idx="594">
                  <c:v>-163.43794340365292</c:v>
                </c:pt>
                <c:pt idx="595">
                  <c:v>-170.93987997454317</c:v>
                </c:pt>
                <c:pt idx="596">
                  <c:v>-178.89390816550414</c:v>
                </c:pt>
                <c:pt idx="597">
                  <c:v>-187.27115142125692</c:v>
                </c:pt>
                <c:pt idx="598">
                  <c:v>-196.01142860696476</c:v>
                </c:pt>
                <c:pt idx="599">
                  <c:v>-205.02884935207851</c:v>
                </c:pt>
                <c:pt idx="600">
                  <c:v>-214.20594936235932</c:v>
                </c:pt>
              </c:numCache>
            </c:numRef>
          </c:yVal>
          <c:smooth val="0"/>
          <c:extLst>
            <c:ext xmlns:c16="http://schemas.microsoft.com/office/drawing/2014/chart" uri="{C3380CC4-5D6E-409C-BE32-E72D297353CC}">
              <c16:uniqueId val="{0000000B-4B49-4ADE-B8CD-DD5F374AD671}"/>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49-4ADE-B8CD-DD5F374AD671}"/>
              </c:ext>
            </c:extLst>
          </c:dPt>
          <c:xVal>
            <c:numRef>
              <c:f>'Stability Calculations'!$A$617:$A$618</c:f>
              <c:numCache>
                <c:formatCode>General</c:formatCode>
                <c:ptCount val="2"/>
                <c:pt idx="0">
                  <c:v>30551.5</c:v>
                </c:pt>
                <c:pt idx="1">
                  <c:v>30551.5</c:v>
                </c:pt>
              </c:numCache>
            </c:numRef>
          </c:xVal>
          <c:yVal>
            <c:numRef>
              <c:f>'Stability Calculations'!$R$617:$R$618</c:f>
              <c:numCache>
                <c:formatCode>0.00</c:formatCode>
                <c:ptCount val="2"/>
                <c:pt idx="0">
                  <c:v>-45.355286187306795</c:v>
                </c:pt>
                <c:pt idx="1">
                  <c:v>-135</c:v>
                </c:pt>
              </c:numCache>
            </c:numRef>
          </c:yVal>
          <c:smooth val="0"/>
          <c:extLst>
            <c:ext xmlns:c16="http://schemas.microsoft.com/office/drawing/2014/chart" uri="{C3380CC4-5D6E-409C-BE32-E72D297353CC}">
              <c16:uniqueId val="{0000000D-4B49-4ADE-B8CD-DD5F374AD671}"/>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30551.5</c:v>
                </c:pt>
                <c:pt idx="1">
                  <c:v>1000000</c:v>
                </c:pt>
              </c:numCache>
            </c:numRef>
          </c:xVal>
          <c:yVal>
            <c:numRef>
              <c:f>'Stability Calculations'!$R$619:$R$620</c:f>
              <c:numCache>
                <c:formatCode>0.00</c:formatCode>
                <c:ptCount val="2"/>
                <c:pt idx="1">
                  <c:v>-45.355286187306795</c:v>
                </c:pt>
              </c:numCache>
            </c:numRef>
          </c:yVal>
          <c:smooth val="0"/>
          <c:extLst>
            <c:ext xmlns:c16="http://schemas.microsoft.com/office/drawing/2014/chart" uri="{C3380CC4-5D6E-409C-BE32-E72D297353CC}">
              <c16:uniqueId val="{0000000E-4B49-4ADE-B8CD-DD5F374AD671}"/>
            </c:ext>
          </c:extLst>
        </c:ser>
        <c:dLbls>
          <c:showLegendKey val="0"/>
          <c:showVal val="0"/>
          <c:showCatName val="0"/>
          <c:showSerName val="0"/>
          <c:showPercent val="0"/>
          <c:showBubbleSize val="0"/>
        </c:dLbls>
        <c:axId val="165660160"/>
        <c:axId val="165661696"/>
      </c:scatterChart>
      <c:valAx>
        <c:axId val="165647872"/>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5649792"/>
        <c:crossesAt val="-80"/>
        <c:crossBetween val="midCat"/>
      </c:valAx>
      <c:valAx>
        <c:axId val="16564979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5647872"/>
        <c:crossesAt val="1.0000000000000005E-2"/>
        <c:crossBetween val="midCat"/>
        <c:majorUnit val="20"/>
      </c:valAx>
      <c:valAx>
        <c:axId val="165660160"/>
        <c:scaling>
          <c:logBase val="10"/>
          <c:orientation val="minMax"/>
        </c:scaling>
        <c:delete val="1"/>
        <c:axPos val="b"/>
        <c:numFmt formatCode="General" sourceLinked="1"/>
        <c:majorTickMark val="out"/>
        <c:minorTickMark val="none"/>
        <c:tickLblPos val="none"/>
        <c:crossAx val="165661696"/>
        <c:crosses val="autoZero"/>
        <c:crossBetween val="midCat"/>
      </c:valAx>
      <c:valAx>
        <c:axId val="165661696"/>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65660160"/>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(Ch2),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0BD-4998-8A98-65686C23F2C0}"/>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Calculations'!$A$627</c:f>
              <c:numCache>
                <c:formatCode>0</c:formatCode>
                <c:ptCount val="1"/>
                <c:pt idx="0">
                  <c:v>1042863.4307551206</c:v>
                </c:pt>
              </c:numCache>
            </c:numRef>
          </c:xVal>
          <c:yVal>
            <c:numRef>
              <c:f>'Ch2 Stability Calculations'!$Q$627</c:f>
              <c:numCache>
                <c:formatCode>0.00</c:formatCode>
                <c:ptCount val="1"/>
                <c:pt idx="0">
                  <c:v>-31.750004243919637</c:v>
                </c:pt>
              </c:numCache>
            </c:numRef>
          </c:yVal>
          <c:smooth val="0"/>
          <c:extLst>
            <c:ext xmlns:c16="http://schemas.microsoft.com/office/drawing/2014/chart" uri="{C3380CC4-5D6E-409C-BE32-E72D297353CC}">
              <c16:uniqueId val="{00000001-10BD-4998-8A98-65686C23F2C0}"/>
            </c:ext>
          </c:extLst>
        </c:ser>
        <c:dLbls>
          <c:showLegendKey val="0"/>
          <c:showVal val="0"/>
          <c:showCatName val="0"/>
          <c:showSerName val="0"/>
          <c:showPercent val="0"/>
          <c:showBubbleSize val="0"/>
        </c:dLbls>
        <c:axId val="185161600"/>
        <c:axId val="185188352"/>
      </c:scatterChart>
      <c:scatterChart>
        <c:scatterStyle val="smoothMarker"/>
        <c:varyColors val="0"/>
        <c:ser>
          <c:idx val="2"/>
          <c:order val="0"/>
          <c:tx>
            <c:v>Loop Gain</c:v>
          </c:tx>
          <c:spPr>
            <a:ln w="3175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75.153880838885257</c:v>
                </c:pt>
                <c:pt idx="1">
                  <c:v>74.367416296178646</c:v>
                </c:pt>
                <c:pt idx="2">
                  <c:v>73.578765494667351</c:v>
                </c:pt>
                <c:pt idx="3">
                  <c:v>72.78826949990723</c:v>
                </c:pt>
                <c:pt idx="4">
                  <c:v>71.99673292538678</c:v>
                </c:pt>
                <c:pt idx="5">
                  <c:v>71.203078247966616</c:v>
                </c:pt>
                <c:pt idx="6">
                  <c:v>70.408632697879213</c:v>
                </c:pt>
                <c:pt idx="7">
                  <c:v>69.613041584894546</c:v>
                </c:pt>
                <c:pt idx="8">
                  <c:v>68.817026157909353</c:v>
                </c:pt>
                <c:pt idx="9">
                  <c:v>68.020101956024916</c:v>
                </c:pt>
                <c:pt idx="10">
                  <c:v>67.22282585328017</c:v>
                </c:pt>
                <c:pt idx="11">
                  <c:v>66.425167106620307</c:v>
                </c:pt>
                <c:pt idx="12">
                  <c:v>65.626772511686241</c:v>
                </c:pt>
                <c:pt idx="13">
                  <c:v>64.828466782777184</c:v>
                </c:pt>
                <c:pt idx="14">
                  <c:v>64.02966098858704</c:v>
                </c:pt>
                <c:pt idx="15">
                  <c:v>63.230702552743139</c:v>
                </c:pt>
                <c:pt idx="16">
                  <c:v>62.431560646614265</c:v>
                </c:pt>
                <c:pt idx="17">
                  <c:v>61.632376800883165</c:v>
                </c:pt>
                <c:pt idx="18">
                  <c:v>60.832941930783107</c:v>
                </c:pt>
                <c:pt idx="19">
                  <c:v>60.03348964509474</c:v>
                </c:pt>
                <c:pt idx="20">
                  <c:v>59.23387575873457</c:v>
                </c:pt>
                <c:pt idx="21">
                  <c:v>58.434275569356004</c:v>
                </c:pt>
                <c:pt idx="22">
                  <c:v>57.6345280248119</c:v>
                </c:pt>
                <c:pt idx="23">
                  <c:v>56.834838798894005</c:v>
                </c:pt>
                <c:pt idx="24">
                  <c:v>56.035010601105654</c:v>
                </c:pt>
                <c:pt idx="25">
                  <c:v>55.235172230324963</c:v>
                </c:pt>
                <c:pt idx="26">
                  <c:v>54.43514136900415</c:v>
                </c:pt>
                <c:pt idx="27">
                  <c:v>53.635176018439907</c:v>
                </c:pt>
                <c:pt idx="28">
                  <c:v>52.835247857524053</c:v>
                </c:pt>
                <c:pt idx="29">
                  <c:v>52.035856252358059</c:v>
                </c:pt>
                <c:pt idx="30">
                  <c:v>51.235651742638296</c:v>
                </c:pt>
                <c:pt idx="31">
                  <c:v>50.435754743281421</c:v>
                </c:pt>
                <c:pt idx="32">
                  <c:v>49.635624987287514</c:v>
                </c:pt>
                <c:pt idx="33">
                  <c:v>48.835835092193051</c:v>
                </c:pt>
                <c:pt idx="34">
                  <c:v>48.035770981786435</c:v>
                </c:pt>
                <c:pt idx="35">
                  <c:v>47.235885896722849</c:v>
                </c:pt>
                <c:pt idx="36">
                  <c:v>46.436060605628874</c:v>
                </c:pt>
                <c:pt idx="37">
                  <c:v>45.635867863142721</c:v>
                </c:pt>
                <c:pt idx="38">
                  <c:v>44.836073356694904</c:v>
                </c:pt>
                <c:pt idx="39">
                  <c:v>44.036036496003391</c:v>
                </c:pt>
                <c:pt idx="40">
                  <c:v>43.236063582734864</c:v>
                </c:pt>
                <c:pt idx="41">
                  <c:v>42.436089301912375</c:v>
                </c:pt>
                <c:pt idx="42">
                  <c:v>41.636227047189884</c:v>
                </c:pt>
                <c:pt idx="43">
                  <c:v>40.836244522664551</c:v>
                </c:pt>
                <c:pt idx="44">
                  <c:v>40.036356908069948</c:v>
                </c:pt>
                <c:pt idx="45">
                  <c:v>39.236405146192496</c:v>
                </c:pt>
                <c:pt idx="46">
                  <c:v>38.436553127647251</c:v>
                </c:pt>
                <c:pt idx="47">
                  <c:v>37.636631190867448</c:v>
                </c:pt>
                <c:pt idx="48">
                  <c:v>36.836839125695519</c:v>
                </c:pt>
                <c:pt idx="49">
                  <c:v>36.036976119316272</c:v>
                </c:pt>
                <c:pt idx="50">
                  <c:v>35.237169802703498</c:v>
                </c:pt>
                <c:pt idx="51">
                  <c:v>34.437238973218783</c:v>
                </c:pt>
                <c:pt idx="52">
                  <c:v>33.637445009614019</c:v>
                </c:pt>
                <c:pt idx="53">
                  <c:v>32.837765401663759</c:v>
                </c:pt>
                <c:pt idx="54">
                  <c:v>32.038707706045258</c:v>
                </c:pt>
                <c:pt idx="55">
                  <c:v>31.238934416154596</c:v>
                </c:pt>
                <c:pt idx="56">
                  <c:v>30.439580068204883</c:v>
                </c:pt>
                <c:pt idx="57">
                  <c:v>29.640123171401921</c:v>
                </c:pt>
                <c:pt idx="58">
                  <c:v>28.841158650724921</c:v>
                </c:pt>
                <c:pt idx="59">
                  <c:v>28.042101039148093</c:v>
                </c:pt>
                <c:pt idx="60">
                  <c:v>27.243437134339143</c:v>
                </c:pt>
                <c:pt idx="61">
                  <c:v>26.445089125021855</c:v>
                </c:pt>
                <c:pt idx="62">
                  <c:v>25.646680698226461</c:v>
                </c:pt>
                <c:pt idx="63">
                  <c:v>24.84903607013138</c:v>
                </c:pt>
                <c:pt idx="64">
                  <c:v>24.051588818817006</c:v>
                </c:pt>
                <c:pt idx="65">
                  <c:v>23.254731617138823</c:v>
                </c:pt>
                <c:pt idx="66">
                  <c:v>22.458504074639482</c:v>
                </c:pt>
                <c:pt idx="67">
                  <c:v>21.663144521939415</c:v>
                </c:pt>
                <c:pt idx="68">
                  <c:v>20.868572524911386</c:v>
                </c:pt>
                <c:pt idx="69">
                  <c:v>20.075182053350588</c:v>
                </c:pt>
                <c:pt idx="70">
                  <c:v>19.28303079804391</c:v>
                </c:pt>
                <c:pt idx="71">
                  <c:v>18.492538322730425</c:v>
                </c:pt>
                <c:pt idx="72">
                  <c:v>17.703843827388209</c:v>
                </c:pt>
                <c:pt idx="73">
                  <c:v>16.91750946856785</c:v>
                </c:pt>
                <c:pt idx="74">
                  <c:v>16.133771747847202</c:v>
                </c:pt>
                <c:pt idx="75">
                  <c:v>15.353270416139857</c:v>
                </c:pt>
                <c:pt idx="76">
                  <c:v>14.576437501819907</c:v>
                </c:pt>
                <c:pt idx="77">
                  <c:v>13.804243364224638</c:v>
                </c:pt>
                <c:pt idx="78">
                  <c:v>13.037504597638174</c:v>
                </c:pt>
                <c:pt idx="79">
                  <c:v>12.277680115480802</c:v>
                </c:pt>
                <c:pt idx="80">
                  <c:v>11.524637362605208</c:v>
                </c:pt>
                <c:pt idx="81">
                  <c:v>10.780760062082994</c:v>
                </c:pt>
                <c:pt idx="82">
                  <c:v>10.047056931317947</c:v>
                </c:pt>
                <c:pt idx="83">
                  <c:v>9.3257614661562052</c:v>
                </c:pt>
                <c:pt idx="84">
                  <c:v>8.6182318369267321</c:v>
                </c:pt>
                <c:pt idx="85">
                  <c:v>7.92698020251553</c:v>
                </c:pt>
                <c:pt idx="86">
                  <c:v>7.2541813322128137</c:v>
                </c:pt>
                <c:pt idx="87">
                  <c:v>6.6019146150337313</c:v>
                </c:pt>
                <c:pt idx="88">
                  <c:v>5.9733173093160739</c:v>
                </c:pt>
                <c:pt idx="89">
                  <c:v>5.3704077003360071</c:v>
                </c:pt>
                <c:pt idx="90">
                  <c:v>4.7958739002925483</c:v>
                </c:pt>
                <c:pt idx="91">
                  <c:v>4.2519255708226513</c:v>
                </c:pt>
                <c:pt idx="92">
                  <c:v>3.7405861184940949</c:v>
                </c:pt>
                <c:pt idx="93">
                  <c:v>3.2632369634381742</c:v>
                </c:pt>
                <c:pt idx="94">
                  <c:v>3.1494004164920626</c:v>
                </c:pt>
                <c:pt idx="95">
                  <c:v>3.09296234737017</c:v>
                </c:pt>
                <c:pt idx="96">
                  <c:v>3.0377195678766911</c:v>
                </c:pt>
                <c:pt idx="97">
                  <c:v>2.9823995581865086</c:v>
                </c:pt>
                <c:pt idx="98">
                  <c:v>2.9282634014066278</c:v>
                </c:pt>
                <c:pt idx="99">
                  <c:v>2.874050354562895</c:v>
                </c:pt>
                <c:pt idx="100">
                  <c:v>2.8210096538853997</c:v>
                </c:pt>
                <c:pt idx="101">
                  <c:v>2.7679332989785617</c:v>
                </c:pt>
                <c:pt idx="102">
                  <c:v>2.7160159130518831</c:v>
                </c:pt>
                <c:pt idx="103">
                  <c:v>2.6640255618923083</c:v>
                </c:pt>
                <c:pt idx="104">
                  <c:v>2.6131823644126118</c:v>
                </c:pt>
                <c:pt idx="105">
                  <c:v>2.5623069194284565</c:v>
                </c:pt>
                <c:pt idx="106">
                  <c:v>2.5125648932320428</c:v>
                </c:pt>
                <c:pt idx="107">
                  <c:v>2.4628276464367946</c:v>
                </c:pt>
                <c:pt idx="108">
                  <c:v>2.4142083121701985</c:v>
                </c:pt>
                <c:pt idx="109">
                  <c:v>2.3655945310207125</c:v>
                </c:pt>
                <c:pt idx="110">
                  <c:v>2.3180830117544025</c:v>
                </c:pt>
                <c:pt idx="111">
                  <c:v>2.2705476029290965</c:v>
                </c:pt>
                <c:pt idx="112">
                  <c:v>2.2241000243729263</c:v>
                </c:pt>
                <c:pt idx="113">
                  <c:v>2.1776638464402067</c:v>
                </c:pt>
                <c:pt idx="114">
                  <c:v>2.1322992895203869</c:v>
                </c:pt>
                <c:pt idx="115">
                  <c:v>2.0869493831549937</c:v>
                </c:pt>
                <c:pt idx="116">
                  <c:v>2.0426545913634073</c:v>
                </c:pt>
                <c:pt idx="117">
                  <c:v>1.9983782165163873</c:v>
                </c:pt>
                <c:pt idx="118">
                  <c:v>1.955140117537473</c:v>
                </c:pt>
                <c:pt idx="119">
                  <c:v>1.9119504512455796</c:v>
                </c:pt>
                <c:pt idx="120">
                  <c:v>1.86978064497701</c:v>
                </c:pt>
                <c:pt idx="121">
                  <c:v>1.8276612311794269</c:v>
                </c:pt>
                <c:pt idx="122">
                  <c:v>1.7865430191126954</c:v>
                </c:pt>
                <c:pt idx="123">
                  <c:v>1.7454539266681282</c:v>
                </c:pt>
                <c:pt idx="124">
                  <c:v>1.7053482360507948</c:v>
                </c:pt>
                <c:pt idx="125">
                  <c:v>1.6652986605795279</c:v>
                </c:pt>
                <c:pt idx="126">
                  <c:v>1.6262132098106941</c:v>
                </c:pt>
                <c:pt idx="127">
                  <c:v>1.5871862543823538</c:v>
                </c:pt>
                <c:pt idx="128">
                  <c:v>1.5491038697882342</c:v>
                </c:pt>
                <c:pt idx="129">
                  <c:v>1.5110823181910658</c:v>
                </c:pt>
                <c:pt idx="130">
                  <c:v>1.4739855066400018</c:v>
                </c:pt>
                <c:pt idx="131">
                  <c:v>1.4369517389917381</c:v>
                </c:pt>
                <c:pt idx="132">
                  <c:v>1.4187760162329688</c:v>
                </c:pt>
                <c:pt idx="133">
                  <c:v>1.4008226089416118</c:v>
                </c:pt>
                <c:pt idx="134">
                  <c:v>1.3826688080587823</c:v>
                </c:pt>
                <c:pt idx="135">
                  <c:v>1.3647401451104479</c:v>
                </c:pt>
                <c:pt idx="136">
                  <c:v>1.3470327556972974</c:v>
                </c:pt>
                <c:pt idx="137">
                  <c:v>1.3295428525613118</c:v>
                </c:pt>
                <c:pt idx="138">
                  <c:v>1.3118769429570332</c:v>
                </c:pt>
                <c:pt idx="139">
                  <c:v>1.294430734397235</c:v>
                </c:pt>
                <c:pt idx="140">
                  <c:v>1.2772004147556639</c:v>
                </c:pt>
                <c:pt idx="141">
                  <c:v>1.2601822487824952</c:v>
                </c:pt>
                <c:pt idx="142">
                  <c:v>1.2429764626463007</c:v>
                </c:pt>
                <c:pt idx="143">
                  <c:v>1.2259853286322062</c:v>
                </c:pt>
                <c:pt idx="144">
                  <c:v>1.2092050782916806</c:v>
                </c:pt>
                <c:pt idx="145">
                  <c:v>1.1926320200169997</c:v>
                </c:pt>
                <c:pt idx="146">
                  <c:v>1.1758857365610511</c:v>
                </c:pt>
                <c:pt idx="147">
                  <c:v>1.1593487750817391</c:v>
                </c:pt>
                <c:pt idx="148">
                  <c:v>1.1430174196442813</c:v>
                </c:pt>
                <c:pt idx="149">
                  <c:v>1.1268880308771658</c:v>
                </c:pt>
                <c:pt idx="150">
                  <c:v>1.1105910163580264</c:v>
                </c:pt>
                <c:pt idx="151">
                  <c:v>1.0944979463445028</c:v>
                </c:pt>
                <c:pt idx="152">
                  <c:v>1.0786051603287861</c:v>
                </c:pt>
                <c:pt idx="153">
                  <c:v>1.0629090740011258</c:v>
                </c:pt>
                <c:pt idx="154">
                  <c:v>1.0470435310016371</c:v>
                </c:pt>
                <c:pt idx="155">
                  <c:v>1.0313766957524613</c:v>
                </c:pt>
                <c:pt idx="156">
                  <c:v>1.0159049610846991</c:v>
                </c:pt>
                <c:pt idx="157">
                  <c:v>1.0006247957106658</c:v>
                </c:pt>
                <c:pt idx="158">
                  <c:v>0.98518092766464216</c:v>
                </c:pt>
                <c:pt idx="159">
                  <c:v>0.96993047343083649</c:v>
                </c:pt>
                <c:pt idx="160">
                  <c:v>0.95486988242895932</c:v>
                </c:pt>
                <c:pt idx="161">
                  <c:v>0.93999567954133689</c:v>
                </c:pt>
                <c:pt idx="162">
                  <c:v>0.92496983955072887</c:v>
                </c:pt>
                <c:pt idx="163">
                  <c:v>0.91013190816379608</c:v>
                </c:pt>
                <c:pt idx="164">
                  <c:v>0.89547839903924209</c:v>
                </c:pt>
                <c:pt idx="165">
                  <c:v>0.8810059006479859</c:v>
                </c:pt>
                <c:pt idx="166">
                  <c:v>0.86637404855717604</c:v>
                </c:pt>
                <c:pt idx="167">
                  <c:v>0.85192489517866521</c:v>
                </c:pt>
                <c:pt idx="168">
                  <c:v>0.83765501212013038</c:v>
                </c:pt>
                <c:pt idx="169">
                  <c:v>0.82356104531306051</c:v>
                </c:pt>
                <c:pt idx="170">
                  <c:v>0.80934284034533954</c:v>
                </c:pt>
                <c:pt idx="171">
                  <c:v>0.79530133770912459</c:v>
                </c:pt>
                <c:pt idx="172">
                  <c:v>0.78143319110284326</c:v>
                </c:pt>
                <c:pt idx="173">
                  <c:v>0.76773512734128357</c:v>
                </c:pt>
                <c:pt idx="174">
                  <c:v>0.75386495136620835</c:v>
                </c:pt>
                <c:pt idx="175">
                  <c:v>0.74016680246332078</c:v>
                </c:pt>
                <c:pt idx="176">
                  <c:v>0.72663738104486886</c:v>
                </c:pt>
                <c:pt idx="177">
                  <c:v>0.7132734604383919</c:v>
                </c:pt>
                <c:pt idx="178">
                  <c:v>0.69974927488429495</c:v>
                </c:pt>
                <c:pt idx="179">
                  <c:v>0.68639219842215482</c:v>
                </c:pt>
                <c:pt idx="180">
                  <c:v>0.67319898664733624</c:v>
                </c:pt>
                <c:pt idx="181">
                  <c:v>0.66016646760821207</c:v>
                </c:pt>
                <c:pt idx="182">
                  <c:v>0.64703562788507751</c:v>
                </c:pt>
                <c:pt idx="183">
                  <c:v>0.6340655290000069</c:v>
                </c:pt>
                <c:pt idx="184">
                  <c:v>0.62125302600558996</c:v>
                </c:pt>
                <c:pt idx="185">
                  <c:v>0.60859504460198555</c:v>
                </c:pt>
                <c:pt idx="186">
                  <c:v>0.59574737314303527</c:v>
                </c:pt>
                <c:pt idx="187">
                  <c:v>0.58305646469308303</c:v>
                </c:pt>
                <c:pt idx="188">
                  <c:v>0.57051920586736671</c:v>
                </c:pt>
                <c:pt idx="189">
                  <c:v>0.5581325541284784</c:v>
                </c:pt>
                <c:pt idx="190">
                  <c:v>0.5456613833574252</c:v>
                </c:pt>
                <c:pt idx="191">
                  <c:v>0.53334045971246358</c:v>
                </c:pt>
                <c:pt idx="192">
                  <c:v>0.5211667784712839</c:v>
                </c:pt>
                <c:pt idx="193">
                  <c:v>0.50913740360501658</c:v>
                </c:pt>
                <c:pt idx="194">
                  <c:v>0.49693967423088176</c:v>
                </c:pt>
                <c:pt idx="195">
                  <c:v>0.48488786631266312</c:v>
                </c:pt>
                <c:pt idx="196">
                  <c:v>0.47297902067255976</c:v>
                </c:pt>
                <c:pt idx="197">
                  <c:v>0.4612102465593656</c:v>
                </c:pt>
                <c:pt idx="198">
                  <c:v>0.44932552955271682</c:v>
                </c:pt>
                <c:pt idx="199">
                  <c:v>0.43758119298975806</c:v>
                </c:pt>
                <c:pt idx="200">
                  <c:v>0.42597436183697152</c:v>
                </c:pt>
                <c:pt idx="201">
                  <c:v>0.41450222801106112</c:v>
                </c:pt>
                <c:pt idx="202">
                  <c:v>0.40292046896093792</c:v>
                </c:pt>
                <c:pt idx="203">
                  <c:v>0.39147352554948284</c:v>
                </c:pt>
                <c:pt idx="204">
                  <c:v>0.38015861015019575</c:v>
                </c:pt>
                <c:pt idx="205">
                  <c:v>0.36897300047093129</c:v>
                </c:pt>
                <c:pt idx="206">
                  <c:v>0.35764492959285343</c:v>
                </c:pt>
                <c:pt idx="207">
                  <c:v>0.34644698990335854</c:v>
                </c:pt>
                <c:pt idx="208">
                  <c:v>0.3353764562274465</c:v>
                </c:pt>
                <c:pt idx="209">
                  <c:v>0.32443066785351393</c:v>
                </c:pt>
                <c:pt idx="210">
                  <c:v>0.31331318962883775</c:v>
                </c:pt>
                <c:pt idx="211">
                  <c:v>0.30232187056386189</c:v>
                </c:pt>
                <c:pt idx="212">
                  <c:v>0.29145402706346196</c:v>
                </c:pt>
                <c:pt idx="213">
                  <c:v>0.28070703976458022</c:v>
                </c:pt>
                <c:pt idx="214">
                  <c:v>0.26986766961139508</c:v>
                </c:pt>
                <c:pt idx="215">
                  <c:v>0.25914871442925025</c:v>
                </c:pt>
                <c:pt idx="216">
                  <c:v>0.24854759032297363</c:v>
                </c:pt>
                <c:pt idx="217">
                  <c:v>0.23806177552397711</c:v>
                </c:pt>
                <c:pt idx="218">
                  <c:v>0.22745358838401908</c:v>
                </c:pt>
                <c:pt idx="219">
                  <c:v>0.21696088420437343</c:v>
                </c:pt>
                <c:pt idx="220">
                  <c:v>0.20658115541138833</c:v>
                </c:pt>
                <c:pt idx="221">
                  <c:v>0.19631195515950342</c:v>
                </c:pt>
                <c:pt idx="222">
                  <c:v>0.18592558945772583</c:v>
                </c:pt>
                <c:pt idx="223">
                  <c:v>0.17564975090697094</c:v>
                </c:pt>
                <c:pt idx="224">
                  <c:v>0.16548201131146179</c:v>
                </c:pt>
                <c:pt idx="225">
                  <c:v>0.15542000167226527</c:v>
                </c:pt>
                <c:pt idx="226">
                  <c:v>0.14521452260006992</c:v>
                </c:pt>
                <c:pt idx="227">
                  <c:v>0.1351152536338095</c:v>
                </c:pt>
                <c:pt idx="228">
                  <c:v>0.12511982704247693</c:v>
                </c:pt>
                <c:pt idx="229">
                  <c:v>0.11522593334397863</c:v>
                </c:pt>
                <c:pt idx="230">
                  <c:v>9.5264613529001035E-2</c:v>
                </c:pt>
                <c:pt idx="231">
                  <c:v>8.5434359558974535E-2</c:v>
                </c:pt>
                <c:pt idx="232">
                  <c:v>7.5701363162619342E-2</c:v>
                </c:pt>
                <c:pt idx="233">
                  <c:v>6.5835778334816589E-2</c:v>
                </c:pt>
                <c:pt idx="234">
                  <c:v>5.6067537269246591E-2</c:v>
                </c:pt>
                <c:pt idx="235">
                  <c:v>4.6394406280362219E-2</c:v>
                </c:pt>
                <c:pt idx="236">
                  <c:v>3.6814207530427551E-2</c:v>
                </c:pt>
                <c:pt idx="237">
                  <c:v>2.7133204489923724E-2</c:v>
                </c:pt>
                <c:pt idx="238">
                  <c:v>1.7544533669569325E-2</c:v>
                </c:pt>
                <c:pt idx="239">
                  <c:v>8.0460515241383458E-3</c:v>
                </c:pt>
                <c:pt idx="240">
                  <c:v>-1.3643316587307593E-3</c:v>
                </c:pt>
                <c:pt idx="241">
                  <c:v>-1.0925948607737639E-2</c:v>
                </c:pt>
                <c:pt idx="242">
                  <c:v>-2.0399188949663648E-2</c:v>
                </c:pt>
                <c:pt idx="243">
                  <c:v>-2.9786140445892794E-2</c:v>
                </c:pt>
                <c:pt idx="244">
                  <c:v>-3.9088837923104407E-2</c:v>
                </c:pt>
                <c:pt idx="245">
                  <c:v>-4.8512678668409512E-2</c:v>
                </c:pt>
                <c:pt idx="246">
                  <c:v>-5.7852626253367137E-2</c:v>
                </c:pt>
                <c:pt idx="247">
                  <c:v>-6.7110692170237907E-2</c:v>
                </c:pt>
                <c:pt idx="248">
                  <c:v>-7.628883658923892E-2</c:v>
                </c:pt>
                <c:pt idx="249">
                  <c:v>-8.5609965563369014E-2</c:v>
                </c:pt>
                <c:pt idx="250">
                  <c:v>-9.4851232302773564E-2</c:v>
                </c:pt>
                <c:pt idx="251">
                  <c:v>-0.10401458607489333</c:v>
                </c:pt>
                <c:pt idx="252">
                  <c:v>-0.11310192598892842</c:v>
                </c:pt>
                <c:pt idx="253">
                  <c:v>-0.12230506933236124</c:v>
                </c:pt>
                <c:pt idx="254">
                  <c:v>-0.13143279623975002</c:v>
                </c:pt>
                <c:pt idx="255">
                  <c:v>-0.14048697643919009</c:v>
                </c:pt>
                <c:pt idx="256">
                  <c:v>-0.1494694312833619</c:v>
                </c:pt>
                <c:pt idx="257">
                  <c:v>-0.15861191509961378</c:v>
                </c:pt>
                <c:pt idx="258">
                  <c:v>-0.16768264250582399</c:v>
                </c:pt>
                <c:pt idx="259">
                  <c:v>-0.1766834306415182</c:v>
                </c:pt>
                <c:pt idx="260">
                  <c:v>-0.18561604915093366</c:v>
                </c:pt>
                <c:pt idx="261">
                  <c:v>-0.19468296652617595</c:v>
                </c:pt>
                <c:pt idx="262">
                  <c:v>-0.2036821784704792</c:v>
                </c:pt>
                <c:pt idx="263">
                  <c:v>-0.21261543294700061</c:v>
                </c:pt>
                <c:pt idx="264">
                  <c:v>-0.22148443189889044</c:v>
                </c:pt>
                <c:pt idx="265">
                  <c:v>-0.23048583186407676</c:v>
                </c:pt>
                <c:pt idx="266">
                  <c:v>-0.23942354387365128</c:v>
                </c:pt>
                <c:pt idx="267">
                  <c:v>-0.24829924556064867</c:v>
                </c:pt>
                <c:pt idx="268">
                  <c:v>-0.25711457007961797</c:v>
                </c:pt>
                <c:pt idx="269">
                  <c:v>-0.26608190387133901</c:v>
                </c:pt>
                <c:pt idx="270">
                  <c:v>-0.27498923861925811</c:v>
                </c:pt>
                <c:pt idx="271">
                  <c:v>-0.28383819223027984</c:v>
                </c:pt>
                <c:pt idx="272">
                  <c:v>-0.29263033932313787</c:v>
                </c:pt>
                <c:pt idx="273">
                  <c:v>-0.30157261590526901</c:v>
                </c:pt>
                <c:pt idx="274">
                  <c:v>-0.3104585799230023</c:v>
                </c:pt>
                <c:pt idx="275">
                  <c:v>-0.31928978753720783</c:v>
                </c:pt>
                <c:pt idx="276">
                  <c:v>-0.32806775290098422</c:v>
                </c:pt>
                <c:pt idx="277">
                  <c:v>-0.33697436981261064</c:v>
                </c:pt>
                <c:pt idx="278">
                  <c:v>-0.34582857295992631</c:v>
                </c:pt>
                <c:pt idx="279">
                  <c:v>-0.35463184534358483</c:v>
                </c:pt>
                <c:pt idx="280">
                  <c:v>-0.36338562966897719</c:v>
                </c:pt>
                <c:pt idx="281">
                  <c:v>-0.37232649391035455</c:v>
                </c:pt>
                <c:pt idx="282">
                  <c:v>-0.3812181124698486</c:v>
                </c:pt>
                <c:pt idx="283">
                  <c:v>-0.39006192372192994</c:v>
                </c:pt>
                <c:pt idx="284">
                  <c:v>-0.39885932644347488</c:v>
                </c:pt>
                <c:pt idx="285">
                  <c:v>-0.40778435922742984</c:v>
                </c:pt>
                <c:pt idx="286">
                  <c:v>-0.41666394688253888</c:v>
                </c:pt>
                <c:pt idx="287">
                  <c:v>-0.42549945329785349</c:v>
                </c:pt>
                <c:pt idx="288">
                  <c:v>-0.43429220456802387</c:v>
                </c:pt>
                <c:pt idx="289">
                  <c:v>-0.44326927775265101</c:v>
                </c:pt>
                <c:pt idx="290">
                  <c:v>-0.45220406587128004</c:v>
                </c:pt>
                <c:pt idx="291">
                  <c:v>-0.46109788411009245</c:v>
                </c:pt>
                <c:pt idx="292">
                  <c:v>-0.46995201073220649</c:v>
                </c:pt>
                <c:pt idx="293">
                  <c:v>-0.4789709670216703</c:v>
                </c:pt>
                <c:pt idx="294">
                  <c:v>-0.48795096950942024</c:v>
                </c:pt>
                <c:pt idx="295">
                  <c:v>-0.49689327445541032</c:v>
                </c:pt>
                <c:pt idx="296">
                  <c:v>-0.50579910245823578</c:v>
                </c:pt>
                <c:pt idx="297">
                  <c:v>-0.51486960224123368</c:v>
                </c:pt>
                <c:pt idx="298">
                  <c:v>-0.52390443077933002</c:v>
                </c:pt>
                <c:pt idx="299">
                  <c:v>-0.53290478464937996</c:v>
                </c:pt>
                <c:pt idx="300">
                  <c:v>-0.54187182607263418</c:v>
                </c:pt>
                <c:pt idx="301">
                  <c:v>-0.55100368539573996</c:v>
                </c:pt>
                <c:pt idx="302">
                  <c:v>-0.56010309422169069</c:v>
                </c:pt>
                <c:pt idx="303">
                  <c:v>-0.56917118906436259</c:v>
                </c:pt>
                <c:pt idx="304">
                  <c:v>-0.57820907341872019</c:v>
                </c:pt>
                <c:pt idx="305">
                  <c:v>-0.58744753228081881</c:v>
                </c:pt>
                <c:pt idx="306">
                  <c:v>-0.59665646646013937</c:v>
                </c:pt>
                <c:pt idx="307">
                  <c:v>-0.60583696464362879</c:v>
                </c:pt>
                <c:pt idx="308">
                  <c:v>-0.61499008337306094</c:v>
                </c:pt>
                <c:pt idx="309">
                  <c:v>-0.62430889825253166</c:v>
                </c:pt>
                <c:pt idx="310">
                  <c:v>-0.63360129573769031</c:v>
                </c:pt>
                <c:pt idx="311">
                  <c:v>-0.64286830326151634</c:v>
                </c:pt>
                <c:pt idx="312">
                  <c:v>-0.65211091752145767</c:v>
                </c:pt>
                <c:pt idx="313">
                  <c:v>-0.66155467900160014</c:v>
                </c:pt>
                <c:pt idx="314">
                  <c:v>-0.67097486540126394</c:v>
                </c:pt>
                <c:pt idx="315">
                  <c:v>-0.68037245404655777</c:v>
                </c:pt>
                <c:pt idx="316">
                  <c:v>-0.68974839250721676</c:v>
                </c:pt>
                <c:pt idx="317">
                  <c:v>-0.69932609726504447</c:v>
                </c:pt>
                <c:pt idx="318">
                  <c:v>-0.70888302718070362</c:v>
                </c:pt>
                <c:pt idx="319">
                  <c:v>-0.71842010824829106</c:v>
                </c:pt>
                <c:pt idx="320">
                  <c:v>-0.72793823773886313</c:v>
                </c:pt>
                <c:pt idx="321">
                  <c:v>-0.73765900811568752</c:v>
                </c:pt>
                <c:pt idx="322">
                  <c:v>-0.74736174783198583</c:v>
                </c:pt>
                <c:pt idx="323">
                  <c:v>-0.75704733069349728</c:v>
                </c:pt>
                <c:pt idx="324">
                  <c:v>-0.76671660285841514</c:v>
                </c:pt>
                <c:pt idx="325">
                  <c:v>-0.77658961406110594</c:v>
                </c:pt>
                <c:pt idx="326">
                  <c:v>-0.78644727022938543</c:v>
                </c:pt>
                <c:pt idx="327">
                  <c:v>-0.7962903924583663</c:v>
                </c:pt>
                <c:pt idx="328">
                  <c:v>-0.80611977530236179</c:v>
                </c:pt>
                <c:pt idx="329">
                  <c:v>-0.81617095759862557</c:v>
                </c:pt>
                <c:pt idx="330">
                  <c:v>-0.82620933942993147</c:v>
                </c:pt>
                <c:pt idx="331">
                  <c:v>-0.83623569275430554</c:v>
                </c:pt>
                <c:pt idx="332">
                  <c:v>-0.84625076394937759</c:v>
                </c:pt>
                <c:pt idx="333">
                  <c:v>-0.85647228908765183</c:v>
                </c:pt>
                <c:pt idx="334">
                  <c:v>-0.86668353408953791</c:v>
                </c:pt>
                <c:pt idx="335">
                  <c:v>-0.87688521752651227</c:v>
                </c:pt>
                <c:pt idx="336">
                  <c:v>-0.88707803354641479</c:v>
                </c:pt>
                <c:pt idx="337">
                  <c:v>-0.89751217830451047</c:v>
                </c:pt>
                <c:pt idx="338">
                  <c:v>-0.90793841549181908</c:v>
                </c:pt>
                <c:pt idx="339">
                  <c:v>-0.91835741691008288</c:v>
                </c:pt>
                <c:pt idx="340">
                  <c:v>-0.92876983080357722</c:v>
                </c:pt>
                <c:pt idx="341">
                  <c:v>-0.9394251728152857</c:v>
                </c:pt>
                <c:pt idx="342">
                  <c:v>-0.95007491148306666</c:v>
                </c:pt>
                <c:pt idx="343">
                  <c:v>-0.96071967087834675</c:v>
                </c:pt>
                <c:pt idx="344">
                  <c:v>-0.97136005242598178</c:v>
                </c:pt>
                <c:pt idx="345">
                  <c:v>-0.98222854797740911</c:v>
                </c:pt>
                <c:pt idx="346">
                  <c:v>-0.99309367309928565</c:v>
                </c:pt>
                <c:pt idx="347">
                  <c:v>-1.0039560009152591</c:v>
                </c:pt>
                <c:pt idx="348">
                  <c:v>-1.0148160829781152</c:v>
                </c:pt>
                <c:pt idx="349">
                  <c:v>-1.0259392711251589</c:v>
                </c:pt>
                <c:pt idx="350">
                  <c:v>-1.0370612080033519</c:v>
                </c:pt>
                <c:pt idx="351">
                  <c:v>-1.0481824207126853</c:v>
                </c:pt>
                <c:pt idx="352">
                  <c:v>-1.0593034156212227</c:v>
                </c:pt>
                <c:pt idx="353">
                  <c:v>-1.0706894781978773</c:v>
                </c:pt>
                <c:pt idx="354">
                  <c:v>-1.0820763230451189</c:v>
                </c:pt>
                <c:pt idx="355">
                  <c:v>-1.0934644304926864</c:v>
                </c:pt>
                <c:pt idx="356">
                  <c:v>-1.1048542610172416</c:v>
                </c:pt>
                <c:pt idx="357">
                  <c:v>-1.1164946552127013</c:v>
                </c:pt>
                <c:pt idx="358">
                  <c:v>-1.1281377599317979</c:v>
                </c:pt>
                <c:pt idx="359">
                  <c:v>-1.13978400648359</c:v>
                </c:pt>
                <c:pt idx="360">
                  <c:v>-1.1514338073400063</c:v>
                </c:pt>
                <c:pt idx="361">
                  <c:v>-1.1633694207243004</c:v>
                </c:pt>
                <c:pt idx="362">
                  <c:v>-1.175309580379063</c:v>
                </c:pt>
                <c:pt idx="363">
                  <c:v>-1.1872546721265991</c:v>
                </c:pt>
                <c:pt idx="364">
                  <c:v>-1.1992050637776028</c:v>
                </c:pt>
                <c:pt idx="365">
                  <c:v>-1.2114268623391689</c:v>
                </c:pt>
                <c:pt idx="366">
                  <c:v>-1.2236549212645456</c:v>
                </c:pt>
                <c:pt idx="367">
                  <c:v>-1.2358895790584112</c:v>
                </c:pt>
                <c:pt idx="368">
                  <c:v>-1.2481311571660325</c:v>
                </c:pt>
                <c:pt idx="369">
                  <c:v>-1.2606796166889649</c:v>
                </c:pt>
                <c:pt idx="370">
                  <c:v>-1.2732359698098343</c:v>
                </c:pt>
                <c:pt idx="371">
                  <c:v>-1.2858005102954737</c:v>
                </c:pt>
                <c:pt idx="372">
                  <c:v>-1.2983735156481804</c:v>
                </c:pt>
                <c:pt idx="373">
                  <c:v>-1.3112390232313242</c:v>
                </c:pt>
                <c:pt idx="374">
                  <c:v>-1.3241139189715803</c:v>
                </c:pt>
                <c:pt idx="375">
                  <c:v>-1.3369984505202401</c:v>
                </c:pt>
                <c:pt idx="376">
                  <c:v>-1.3498928501751906</c:v>
                </c:pt>
                <c:pt idx="377">
                  <c:v>-1.3631154738979234</c:v>
                </c:pt>
                <c:pt idx="378">
                  <c:v>-1.3763489048390221</c:v>
                </c:pt>
                <c:pt idx="379">
                  <c:v>-1.3895933463269596</c:v>
                </c:pt>
                <c:pt idx="380">
                  <c:v>-1.4028489871195196</c:v>
                </c:pt>
                <c:pt idx="381">
                  <c:v>-1.4164016208990959</c:v>
                </c:pt>
                <c:pt idx="382">
                  <c:v>-1.4299662951460232</c:v>
                </c:pt>
                <c:pt idx="383">
                  <c:v>-1.4435431674114674</c:v>
                </c:pt>
                <c:pt idx="384">
                  <c:v>-1.4571323816308559</c:v>
                </c:pt>
                <c:pt idx="385">
                  <c:v>-1.47107132068215</c:v>
                </c:pt>
                <c:pt idx="386">
                  <c:v>-1.4850234854416722</c:v>
                </c:pt>
                <c:pt idx="387">
                  <c:v>-1.4989889896340156</c:v>
                </c:pt>
                <c:pt idx="388">
                  <c:v>-1.5129679341458979</c:v>
                </c:pt>
                <c:pt idx="389">
                  <c:v>-1.5272820387147252</c:v>
                </c:pt>
                <c:pt idx="390">
                  <c:v>-1.5416103828489147</c:v>
                </c:pt>
                <c:pt idx="391">
                  <c:v>-1.5559530360471288</c:v>
                </c:pt>
                <c:pt idx="392">
                  <c:v>-1.5703100558437757</c:v>
                </c:pt>
                <c:pt idx="393">
                  <c:v>-1.5850044167273414</c:v>
                </c:pt>
                <c:pt idx="394">
                  <c:v>-1.5997138821793209</c:v>
                </c:pt>
                <c:pt idx="395">
                  <c:v>-1.6144384779682519</c:v>
                </c:pt>
                <c:pt idx="396">
                  <c:v>-1.6291782187929968</c:v>
                </c:pt>
                <c:pt idx="397">
                  <c:v>-1.6442915082685947</c:v>
                </c:pt>
                <c:pt idx="398">
                  <c:v>-1.6594206846602624</c:v>
                </c:pt>
                <c:pt idx="399">
                  <c:v>-1.6745657305982384</c:v>
                </c:pt>
                <c:pt idx="400">
                  <c:v>-1.6897266184628681</c:v>
                </c:pt>
                <c:pt idx="401">
                  <c:v>-1.7052460818809336</c:v>
                </c:pt>
                <c:pt idx="402">
                  <c:v>-1.720782021182081</c:v>
                </c:pt>
                <c:pt idx="403">
                  <c:v>-1.7363343764142565</c:v>
                </c:pt>
                <c:pt idx="404">
                  <c:v>-1.7519030782695169</c:v>
                </c:pt>
                <c:pt idx="405">
                  <c:v>-1.7678494817732924</c:v>
                </c:pt>
                <c:pt idx="406">
                  <c:v>-1.7838128234897119</c:v>
                </c:pt>
                <c:pt idx="407">
                  <c:v>-1.7997930014759087</c:v>
                </c:pt>
                <c:pt idx="408">
                  <c:v>-1.8157899053076496</c:v>
                </c:pt>
                <c:pt idx="409">
                  <c:v>-1.8321836573883756</c:v>
                </c:pt>
                <c:pt idx="410">
                  <c:v>-1.8485946789251293</c:v>
                </c:pt>
                <c:pt idx="411">
                  <c:v>-1.8650228264192947</c:v>
                </c:pt>
                <c:pt idx="412">
                  <c:v>-1.8814679487559318</c:v>
                </c:pt>
                <c:pt idx="413">
                  <c:v>-1.8983117112831105</c:v>
                </c:pt>
                <c:pt idx="414">
                  <c:v>-1.9151729019743549</c:v>
                </c:pt>
                <c:pt idx="415">
                  <c:v>-1.9320513366834582</c:v>
                </c:pt>
                <c:pt idx="416">
                  <c:v>-1.9489468245390595</c:v>
                </c:pt>
                <c:pt idx="417">
                  <c:v>-1.9662599723714833</c:v>
                </c:pt>
                <c:pt idx="418">
                  <c:v>-1.9835905660028175</c:v>
                </c:pt>
                <c:pt idx="419">
                  <c:v>-2.00093838114491</c:v>
                </c:pt>
                <c:pt idx="420">
                  <c:v>-2.0183031876727711</c:v>
                </c:pt>
                <c:pt idx="421">
                  <c:v>-2.0360696402674709</c:v>
                </c:pt>
                <c:pt idx="422">
                  <c:v>-2.0538533413782831</c:v>
                </c:pt>
                <c:pt idx="423">
                  <c:v>-2.0716540285981115</c:v>
                </c:pt>
                <c:pt idx="424">
                  <c:v>-2.0894714346131797</c:v>
                </c:pt>
                <c:pt idx="425">
                  <c:v>-2.1077443176440682</c:v>
                </c:pt>
                <c:pt idx="426">
                  <c:v>-2.1260341698326117</c:v>
                </c:pt>
                <c:pt idx="427">
                  <c:v>-2.1443406897501198</c:v>
                </c:pt>
                <c:pt idx="428">
                  <c:v>-2.1626635719545253</c:v>
                </c:pt>
                <c:pt idx="429">
                  <c:v>-2.1814254938070166</c:v>
                </c:pt>
                <c:pt idx="430">
                  <c:v>-2.2002038828401362</c:v>
                </c:pt>
                <c:pt idx="431">
                  <c:v>-2.2189984009724522</c:v>
                </c:pt>
                <c:pt idx="432">
                  <c:v>-2.2378087070411175</c:v>
                </c:pt>
                <c:pt idx="433">
                  <c:v>-2.2570588746059621</c:v>
                </c:pt>
                <c:pt idx="434">
                  <c:v>-2.2763248196345067</c:v>
                </c:pt>
                <c:pt idx="435">
                  <c:v>-2.2956061692722503</c:v>
                </c:pt>
                <c:pt idx="436">
                  <c:v>-2.3149025485269354</c:v>
                </c:pt>
                <c:pt idx="437">
                  <c:v>-2.3346748096287988</c:v>
                </c:pt>
                <c:pt idx="438">
                  <c:v>-2.3544620252898092</c:v>
                </c:pt>
                <c:pt idx="439">
                  <c:v>-2.3742637878176049</c:v>
                </c:pt>
                <c:pt idx="440">
                  <c:v>-2.394079688322635</c:v>
                </c:pt>
                <c:pt idx="441">
                  <c:v>-2.4143718723944998</c:v>
                </c:pt>
                <c:pt idx="442">
                  <c:v>-2.4346779923962796</c:v>
                </c:pt>
                <c:pt idx="443">
                  <c:v>-2.454997607915546</c:v>
                </c:pt>
                <c:pt idx="444">
                  <c:v>-2.4753302782963829</c:v>
                </c:pt>
                <c:pt idx="445">
                  <c:v>-2.4961393150002626</c:v>
                </c:pt>
                <c:pt idx="446">
                  <c:v>-2.5169610761041286</c:v>
                </c:pt>
                <c:pt idx="447">
                  <c:v>-2.537795090861239</c:v>
                </c:pt>
                <c:pt idx="448">
                  <c:v>-2.5586408892400758</c:v>
                </c:pt>
                <c:pt idx="449">
                  <c:v>-2.5799985649839368</c:v>
                </c:pt>
                <c:pt idx="450">
                  <c:v>-2.6013676022724481</c:v>
                </c:pt>
                <c:pt idx="451">
                  <c:v>-2.6227475001405569</c:v>
                </c:pt>
                <c:pt idx="452">
                  <c:v>-2.6441377593061328</c:v>
                </c:pt>
                <c:pt idx="453">
                  <c:v>-2.6660215098812436</c:v>
                </c:pt>
                <c:pt idx="454">
                  <c:v>-2.6879150454823151</c:v>
                </c:pt>
                <c:pt idx="455">
                  <c:v>-2.7098178389211536</c:v>
                </c:pt>
                <c:pt idx="456">
                  <c:v>-2.7317293656536852</c:v>
                </c:pt>
                <c:pt idx="457">
                  <c:v>-2.7541693896363544</c:v>
                </c:pt>
                <c:pt idx="458">
                  <c:v>-2.776617463057462</c:v>
                </c:pt>
                <c:pt idx="459">
                  <c:v>-2.7990730328545737</c:v>
                </c:pt>
                <c:pt idx="460">
                  <c:v>-2.8215355495814807</c:v>
                </c:pt>
                <c:pt idx="461">
                  <c:v>-2.8445254013433514</c:v>
                </c:pt>
                <c:pt idx="462">
                  <c:v>-2.8675213743253285</c:v>
                </c:pt>
                <c:pt idx="463">
                  <c:v>-2.8905228926968434</c:v>
                </c:pt>
                <c:pt idx="464">
                  <c:v>-2.913529385206667</c:v>
                </c:pt>
                <c:pt idx="465">
                  <c:v>-2.937079651593022</c:v>
                </c:pt>
                <c:pt idx="466">
                  <c:v>-2.9606339325463327</c:v>
                </c:pt>
                <c:pt idx="467">
                  <c:v>-2.9841916314149537</c:v>
                </c:pt>
                <c:pt idx="468">
                  <c:v>-3.0077521570885852</c:v>
                </c:pt>
                <c:pt idx="469">
                  <c:v>-3.0318545511188137</c:v>
                </c:pt>
                <c:pt idx="470">
                  <c:v>-3.0559586699558139</c:v>
                </c:pt>
                <c:pt idx="471">
                  <c:v>-3.0800638995986467</c:v>
                </c:pt>
                <c:pt idx="472">
                  <c:v>-3.1041696325279196</c:v>
                </c:pt>
                <c:pt idx="473">
                  <c:v>-3.1288509186402154</c:v>
                </c:pt>
                <c:pt idx="474">
                  <c:v>-3.1535314645558445</c:v>
                </c:pt>
                <c:pt idx="475">
                  <c:v>-3.1782106398086145</c:v>
                </c:pt>
                <c:pt idx="476">
                  <c:v>-3.2028878213667062</c:v>
                </c:pt>
                <c:pt idx="477">
                  <c:v>-3.2281378578725266</c:v>
                </c:pt>
                <c:pt idx="478">
                  <c:v>-3.2533845105952879</c:v>
                </c:pt>
                <c:pt idx="479">
                  <c:v>-3.2786271364056621</c:v>
                </c:pt>
                <c:pt idx="480">
                  <c:v>-3.303865100530516</c:v>
                </c:pt>
                <c:pt idx="481">
                  <c:v>-3.3296728138029734</c:v>
                </c:pt>
                <c:pt idx="482">
                  <c:v>-3.3554743341444726</c:v>
                </c:pt>
                <c:pt idx="483">
                  <c:v>-3.3812690096851461</c:v>
                </c:pt>
                <c:pt idx="484">
                  <c:v>-3.4070561977927576</c:v>
                </c:pt>
                <c:pt idx="485">
                  <c:v>-3.4334275805500574</c:v>
                </c:pt>
                <c:pt idx="486">
                  <c:v>-3.4597897969326525</c:v>
                </c:pt>
                <c:pt idx="487">
                  <c:v>-3.4861421889929458</c:v>
                </c:pt>
                <c:pt idx="488">
                  <c:v>-3.5124841088807579</c:v>
                </c:pt>
                <c:pt idx="489">
                  <c:v>-3.5394421289476377</c:v>
                </c:pt>
                <c:pt idx="490">
                  <c:v>-3.5663878298551976</c:v>
                </c:pt>
                <c:pt idx="491">
                  <c:v>-3.5933205490644871</c:v>
                </c:pt>
                <c:pt idx="492">
                  <c:v>-3.6202396349975725</c:v>
                </c:pt>
                <c:pt idx="493">
                  <c:v>-3.6477703812804463</c:v>
                </c:pt>
                <c:pt idx="494">
                  <c:v>-3.6752855069174646</c:v>
                </c:pt>
                <c:pt idx="495">
                  <c:v>-3.7027843490746455</c:v>
                </c:pt>
                <c:pt idx="496">
                  <c:v>-3.7302662566856233</c:v>
                </c:pt>
                <c:pt idx="497">
                  <c:v>-3.7583728154879132</c:v>
                </c:pt>
                <c:pt idx="498">
                  <c:v>-3.7864602959171951</c:v>
                </c:pt>
                <c:pt idx="499">
                  <c:v>-3.8145280379017188</c:v>
                </c:pt>
                <c:pt idx="500">
                  <c:v>-3.8425753939100353</c:v>
                </c:pt>
                <c:pt idx="501">
                  <c:v>-3.8712598674978729</c:v>
                </c:pt>
                <c:pt idx="502">
                  <c:v>-3.8999216532653658</c:v>
                </c:pt>
                <c:pt idx="503">
                  <c:v>-3.9285600970733277</c:v>
                </c:pt>
                <c:pt idx="504">
                  <c:v>-3.9571745580569386</c:v>
                </c:pt>
                <c:pt idx="505">
                  <c:v>-3.9864203333298192</c:v>
                </c:pt>
                <c:pt idx="506">
                  <c:v>-4.0156396975134161</c:v>
                </c:pt>
                <c:pt idx="507">
                  <c:v>-4.044832006831415</c:v>
                </c:pt>
                <c:pt idx="508">
                  <c:v>-4.0739966314386837</c:v>
                </c:pt>
                <c:pt idx="509">
                  <c:v>-4.1038040421376456</c:v>
                </c:pt>
                <c:pt idx="510">
                  <c:v>-4.1335811878210524</c:v>
                </c:pt>
                <c:pt idx="511">
                  <c:v>-4.1633274382971361</c:v>
                </c:pt>
                <c:pt idx="512">
                  <c:v>-4.193042177912452</c:v>
                </c:pt>
                <c:pt idx="513">
                  <c:v>-4.2234282075401399</c:v>
                </c:pt>
                <c:pt idx="514">
                  <c:v>-4.2537799544797412</c:v>
                </c:pt>
                <c:pt idx="515">
                  <c:v>-4.2840968043466106</c:v>
                </c:pt>
                <c:pt idx="516">
                  <c:v>-4.3143781578821621</c:v>
                </c:pt>
                <c:pt idx="517">
                  <c:v>-4.3453235260928267</c:v>
                </c:pt>
                <c:pt idx="518">
                  <c:v>-4.3762305129807668</c:v>
                </c:pt>
                <c:pt idx="519">
                  <c:v>-4.4070985244294683</c:v>
                </c:pt>
                <c:pt idx="520">
                  <c:v>-4.4379269819426002</c:v>
                </c:pt>
                <c:pt idx="521">
                  <c:v>-4.4694292288385657</c:v>
                </c:pt>
                <c:pt idx="522">
                  <c:v>-4.5008888886253811</c:v>
                </c:pt>
                <c:pt idx="523">
                  <c:v>-4.5323053907903468</c:v>
                </c:pt>
                <c:pt idx="524">
                  <c:v>-4.5636781808718831</c:v>
                </c:pt>
                <c:pt idx="525">
                  <c:v>-4.5957339547944684</c:v>
                </c:pt>
                <c:pt idx="526">
                  <c:v>-4.6277428379547194</c:v>
                </c:pt>
                <c:pt idx="527">
                  <c:v>-4.6597042867771918</c:v>
                </c:pt>
                <c:pt idx="528">
                  <c:v>-4.6916177741011866</c:v>
                </c:pt>
                <c:pt idx="529">
                  <c:v>-4.7242228547512504</c:v>
                </c:pt>
                <c:pt idx="530">
                  <c:v>-4.7567766530661384</c:v>
                </c:pt>
                <c:pt idx="531">
                  <c:v>-4.7892786557179328</c:v>
                </c:pt>
                <c:pt idx="532">
                  <c:v>-4.8217283660860168</c:v>
                </c:pt>
                <c:pt idx="533">
                  <c:v>-4.8548947911667524</c:v>
                </c:pt>
                <c:pt idx="534">
                  <c:v>-4.8880054071317609</c:v>
                </c:pt>
                <c:pt idx="535">
                  <c:v>-4.9210597334359774</c:v>
                </c:pt>
                <c:pt idx="536">
                  <c:v>-4.9540573064942715</c:v>
                </c:pt>
                <c:pt idx="537">
                  <c:v>-4.9877448841048198</c:v>
                </c:pt>
                <c:pt idx="538">
                  <c:v>-5.0213721742538109</c:v>
                </c:pt>
                <c:pt idx="539">
                  <c:v>-5.0549387338736462</c:v>
                </c:pt>
                <c:pt idx="540">
                  <c:v>-5.088444136961801</c:v>
                </c:pt>
                <c:pt idx="541">
                  <c:v>-5.1226802914743574</c:v>
                </c:pt>
                <c:pt idx="542">
                  <c:v>-5.1568515043497918</c:v>
                </c:pt>
                <c:pt idx="543">
                  <c:v>-5.1909573717594091</c:v>
                </c:pt>
                <c:pt idx="544">
                  <c:v>-5.2249975070335095</c:v>
                </c:pt>
                <c:pt idx="545">
                  <c:v>-5.259757732678624</c:v>
                </c:pt>
                <c:pt idx="546">
                  <c:v>-5.2944483800562931</c:v>
                </c:pt>
                <c:pt idx="547">
                  <c:v>-5.3290690882712619</c:v>
                </c:pt>
                <c:pt idx="548">
                  <c:v>-5.3636195135643323</c:v>
                </c:pt>
                <c:pt idx="549">
                  <c:v>-5.3988957123880885</c:v>
                </c:pt>
                <c:pt idx="550">
                  <c:v>-5.4340976658308158</c:v>
                </c:pt>
                <c:pt idx="551">
                  <c:v>-5.4692250588022109</c:v>
                </c:pt>
                <c:pt idx="552">
                  <c:v>-5.5042775932417767</c:v>
                </c:pt>
                <c:pt idx="553">
                  <c:v>-5.5400774652660125</c:v>
                </c:pt>
                <c:pt idx="554">
                  <c:v>-5.5757983338329078</c:v>
                </c:pt>
                <c:pt idx="555">
                  <c:v>-5.6114399320228037</c:v>
                </c:pt>
                <c:pt idx="556">
                  <c:v>-5.6470020097862719</c:v>
                </c:pt>
                <c:pt idx="557">
                  <c:v>-5.7195457299569927</c:v>
                </c:pt>
                <c:pt idx="558">
                  <c:v>-5.791753511211243</c:v>
                </c:pt>
                <c:pt idx="559">
                  <c:v>-5.8652672198039548</c:v>
                </c:pt>
                <c:pt idx="560">
                  <c:v>-5.9384264446681687</c:v>
                </c:pt>
                <c:pt idx="561">
                  <c:v>-6.0129530804694244</c:v>
                </c:pt>
                <c:pt idx="562">
                  <c:v>-6.0871061330878575</c:v>
                </c:pt>
                <c:pt idx="563">
                  <c:v>-6.1624640668113422</c:v>
                </c:pt>
                <c:pt idx="564">
                  <c:v>-6.2374310641455217</c:v>
                </c:pt>
                <c:pt idx="565">
                  <c:v>-6.3138819249757159</c:v>
                </c:pt>
                <c:pt idx="566">
                  <c:v>-6.3899216968032935</c:v>
                </c:pt>
                <c:pt idx="567">
                  <c:v>-6.4674051983895477</c:v>
                </c:pt>
                <c:pt idx="568">
                  <c:v>-6.5444579445440807</c:v>
                </c:pt>
                <c:pt idx="569">
                  <c:v>-6.6226087615684515</c:v>
                </c:pt>
                <c:pt idx="570">
                  <c:v>-6.7003132276036759</c:v>
                </c:pt>
                <c:pt idx="571">
                  <c:v>-6.779687162044036</c:v>
                </c:pt>
                <c:pt idx="572">
                  <c:v>-6.8585927725785361</c:v>
                </c:pt>
                <c:pt idx="573">
                  <c:v>-6.9385242286004907</c:v>
                </c:pt>
                <c:pt idx="574">
                  <c:v>-7.0179732190384208</c:v>
                </c:pt>
                <c:pt idx="575">
                  <c:v>-7.0990059058346535</c:v>
                </c:pt>
                <c:pt idx="576">
                  <c:v>-7.1795355042450009</c:v>
                </c:pt>
                <c:pt idx="577">
                  <c:v>-7.5149577263326002</c:v>
                </c:pt>
                <c:pt idx="578">
                  <c:v>-7.8416575155485173</c:v>
                </c:pt>
                <c:pt idx="579">
                  <c:v>-8.5284541546526942</c:v>
                </c:pt>
                <c:pt idx="580">
                  <c:v>-9.2393589108419736</c:v>
                </c:pt>
                <c:pt idx="581">
                  <c:v>-9.9719378274391932</c:v>
                </c:pt>
                <c:pt idx="582">
                  <c:v>-10.725573274718375</c:v>
                </c:pt>
                <c:pt idx="583">
                  <c:v>-11.499029782923163</c:v>
                </c:pt>
                <c:pt idx="584">
                  <c:v>-12.292683765219241</c:v>
                </c:pt>
                <c:pt idx="585">
                  <c:v>-13.106413232653013</c:v>
                </c:pt>
                <c:pt idx="586">
                  <c:v>-13.941262599832388</c:v>
                </c:pt>
                <c:pt idx="587">
                  <c:v>-14.799314850968216</c:v>
                </c:pt>
                <c:pt idx="588">
                  <c:v>-15.682166323565504</c:v>
                </c:pt>
                <c:pt idx="589">
                  <c:v>-16.593860549969815</c:v>
                </c:pt>
                <c:pt idx="590">
                  <c:v>-17.538485899453779</c:v>
                </c:pt>
                <c:pt idx="591">
                  <c:v>-18.521819676180364</c:v>
                </c:pt>
                <c:pt idx="592">
                  <c:v>-19.550910246596523</c:v>
                </c:pt>
                <c:pt idx="593">
                  <c:v>-20.634971463829856</c:v>
                </c:pt>
                <c:pt idx="594">
                  <c:v>-21.784530854648668</c:v>
                </c:pt>
                <c:pt idx="595">
                  <c:v>-23.012605213341022</c:v>
                </c:pt>
                <c:pt idx="596">
                  <c:v>-24.333536560529975</c:v>
                </c:pt>
                <c:pt idx="597">
                  <c:v>-25.763460096341284</c:v>
                </c:pt>
                <c:pt idx="598">
                  <c:v>-27.318057148126439</c:v>
                </c:pt>
                <c:pt idx="599">
                  <c:v>-29.012349853261249</c:v>
                </c:pt>
                <c:pt idx="600">
                  <c:v>-30.857372285475687</c:v>
                </c:pt>
              </c:numCache>
            </c:numRef>
          </c:yVal>
          <c:smooth val="1"/>
          <c:extLst>
            <c:ext xmlns:c16="http://schemas.microsoft.com/office/drawing/2014/chart" uri="{C3380CC4-5D6E-409C-BE32-E72D297353CC}">
              <c16:uniqueId val="{00000002-10BD-4998-8A98-65686C23F2C0}"/>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Calculations'!$C$635</c:f>
              <c:numCache>
                <c:formatCode>0.00</c:formatCode>
                <c:ptCount val="1"/>
                <c:pt idx="0">
                  <c:v>6014.9260496506558</c:v>
                </c:pt>
              </c:numCache>
            </c:numRef>
          </c:xVal>
          <c:yVal>
            <c:numRef>
              <c:f>'Ch2 Stability Calculations'!$D$635</c:f>
              <c:numCache>
                <c:formatCode>0.00</c:formatCode>
                <c:ptCount val="1"/>
                <c:pt idx="0">
                  <c:v>2.6210193797437049</c:v>
                </c:pt>
              </c:numCache>
            </c:numRef>
          </c:yVal>
          <c:smooth val="1"/>
          <c:extLst>
            <c:ext xmlns:c16="http://schemas.microsoft.com/office/drawing/2014/chart" uri="{C3380CC4-5D6E-409C-BE32-E72D297353CC}">
              <c16:uniqueId val="{00000004-10BD-4998-8A98-65686C23F2C0}"/>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Calculations'!$C$5</c:f>
              <c:numCache>
                <c:formatCode>0.0</c:formatCode>
                <c:ptCount val="1"/>
                <c:pt idx="0">
                  <c:v>0.13815215952049953</c:v>
                </c:pt>
              </c:numCache>
            </c:numRef>
          </c:xVal>
          <c:yVal>
            <c:numRef>
              <c:f>'Ch2 Stability Calculations'!$Q$624</c:f>
              <c:numCache>
                <c:formatCode>0.00</c:formatCode>
                <c:ptCount val="1"/>
                <c:pt idx="0">
                  <c:v>89.418535641858625</c:v>
                </c:pt>
              </c:numCache>
            </c:numRef>
          </c:yVal>
          <c:smooth val="1"/>
          <c:extLst>
            <c:ext xmlns:c16="http://schemas.microsoft.com/office/drawing/2014/chart" uri="{C3380CC4-5D6E-409C-BE32-E72D297353CC}">
              <c16:uniqueId val="{00000006-10BD-4998-8A98-65686C23F2C0}"/>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Calculations'!$K$4</c:f>
              <c:numCache>
                <c:formatCode>0</c:formatCode>
                <c:ptCount val="1"/>
                <c:pt idx="0">
                  <c:v>62178.710970407672</c:v>
                </c:pt>
              </c:numCache>
            </c:numRef>
          </c:xVal>
          <c:yVal>
            <c:numRef>
              <c:f>'Ch2 Stability Calculations'!$D$632</c:f>
              <c:numCache>
                <c:formatCode>0.00</c:formatCode>
                <c:ptCount val="1"/>
                <c:pt idx="0">
                  <c:v>-3.3411521296136959</c:v>
                </c:pt>
              </c:numCache>
            </c:numRef>
          </c:yVal>
          <c:smooth val="1"/>
          <c:extLst>
            <c:ext xmlns:c16="http://schemas.microsoft.com/office/drawing/2014/chart" uri="{C3380CC4-5D6E-409C-BE32-E72D297353CC}">
              <c16:uniqueId val="{00000008-10BD-4998-8A98-65686C23F2C0}"/>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0BD-4998-8A98-65686C23F2C0}"/>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Calculations'!$A$623</c:f>
              <c:numCache>
                <c:formatCode>0</c:formatCode>
                <c:ptCount val="1"/>
                <c:pt idx="0">
                  <c:v>16931376.944016635</c:v>
                </c:pt>
              </c:numCache>
            </c:numRef>
          </c:xVal>
          <c:yVal>
            <c:numRef>
              <c:f>'Ch2 Stability Calculations'!$Q$623</c:f>
              <c:numCache>
                <c:formatCode>0.00</c:formatCode>
                <c:ptCount val="1"/>
                <c:pt idx="0">
                  <c:v>-118.78224626080625</c:v>
                </c:pt>
              </c:numCache>
            </c:numRef>
          </c:yVal>
          <c:smooth val="1"/>
          <c:extLst>
            <c:ext xmlns:c16="http://schemas.microsoft.com/office/drawing/2014/chart" uri="{C3380CC4-5D6E-409C-BE32-E72D297353CC}">
              <c16:uniqueId val="{0000000A-10BD-4998-8A98-65686C23F2C0}"/>
            </c:ext>
          </c:extLst>
        </c:ser>
        <c:dLbls>
          <c:showLegendKey val="0"/>
          <c:showVal val="0"/>
          <c:showCatName val="0"/>
          <c:showSerName val="0"/>
          <c:showPercent val="0"/>
          <c:showBubbleSize val="0"/>
        </c:dLbls>
        <c:axId val="185161600"/>
        <c:axId val="185188352"/>
      </c:scatterChart>
      <c:scatterChart>
        <c:scatterStyle val="lineMarker"/>
        <c:varyColors val="0"/>
        <c:ser>
          <c:idx val="3"/>
          <c:order val="1"/>
          <c:tx>
            <c:v>Loop Phase</c:v>
          </c:tx>
          <c:spPr>
            <a:ln w="34925">
              <a:solidFill>
                <a:srgbClr val="002060"/>
              </a:solidFill>
              <a:prstDash val="sysDash"/>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-82.125787975774486</c:v>
                </c:pt>
                <c:pt idx="1">
                  <c:v>-82.809645070463645</c:v>
                </c:pt>
                <c:pt idx="2">
                  <c:v>-83.434908569844936</c:v>
                </c:pt>
                <c:pt idx="3">
                  <c:v>-84.006324796915024</c:v>
                </c:pt>
                <c:pt idx="4">
                  <c:v>-84.527985536936043</c:v>
                </c:pt>
                <c:pt idx="5">
                  <c:v>-85.004830121990878</c:v>
                </c:pt>
                <c:pt idx="6">
                  <c:v>-85.439929463428115</c:v>
                </c:pt>
                <c:pt idx="7">
                  <c:v>-85.837076955695068</c:v>
                </c:pt>
                <c:pt idx="8">
                  <c:v>-86.199212375498078</c:v>
                </c:pt>
                <c:pt idx="9">
                  <c:v>-86.529576402086107</c:v>
                </c:pt>
                <c:pt idx="10">
                  <c:v>-86.830690991994445</c:v>
                </c:pt>
                <c:pt idx="11">
                  <c:v>-87.105102024748774</c:v>
                </c:pt>
                <c:pt idx="12">
                  <c:v>-87.355219926923056</c:v>
                </c:pt>
                <c:pt idx="13">
                  <c:v>-87.582889901545613</c:v>
                </c:pt>
                <c:pt idx="14">
                  <c:v>-87.790204383387348</c:v>
                </c:pt>
                <c:pt idx="15">
                  <c:v>-87.978814343823387</c:v>
                </c:pt>
                <c:pt idx="16">
                  <c:v>-88.150321390720407</c:v>
                </c:pt>
                <c:pt idx="17">
                  <c:v>-88.306147287532937</c:v>
                </c:pt>
                <c:pt idx="18">
                  <c:v>-88.447649996749433</c:v>
                </c:pt>
                <c:pt idx="19">
                  <c:v>-88.57598414829971</c:v>
                </c:pt>
                <c:pt idx="20">
                  <c:v>-88.692259664349223</c:v>
                </c:pt>
                <c:pt idx="21">
                  <c:v>-88.797435890412672</c:v>
                </c:pt>
                <c:pt idx="22">
                  <c:v>-88.892425135136605</c:v>
                </c:pt>
                <c:pt idx="23">
                  <c:v>-88.978008216934072</c:v>
                </c:pt>
                <c:pt idx="24">
                  <c:v>-89.054931979040191</c:v>
                </c:pt>
                <c:pt idx="25">
                  <c:v>-89.123835031097073</c:v>
                </c:pt>
                <c:pt idx="26">
                  <c:v>-89.185315512628833</c:v>
                </c:pt>
                <c:pt idx="27">
                  <c:v>-89.239874068114233</c:v>
                </c:pt>
                <c:pt idx="28">
                  <c:v>-89.287977359714034</c:v>
                </c:pt>
                <c:pt idx="29">
                  <c:v>-89.33001032756367</c:v>
                </c:pt>
                <c:pt idx="30">
                  <c:v>-89.366397993052317</c:v>
                </c:pt>
                <c:pt idx="31">
                  <c:v>-89.39739287864785</c:v>
                </c:pt>
                <c:pt idx="32">
                  <c:v>-89.423279999032843</c:v>
                </c:pt>
                <c:pt idx="33">
                  <c:v>-89.444261568045832</c:v>
                </c:pt>
                <c:pt idx="34">
                  <c:v>-89.460532511454815</c:v>
                </c:pt>
                <c:pt idx="35">
                  <c:v>-89.472220882772817</c:v>
                </c:pt>
                <c:pt idx="36">
                  <c:v>-89.479429693145221</c:v>
                </c:pt>
                <c:pt idx="37">
                  <c:v>-89.482221443876227</c:v>
                </c:pt>
                <c:pt idx="38">
                  <c:v>-89.480617411513506</c:v>
                </c:pt>
                <c:pt idx="39">
                  <c:v>-89.474603976537708</c:v>
                </c:pt>
                <c:pt idx="40">
                  <c:v>-89.464130913182117</c:v>
                </c:pt>
                <c:pt idx="41">
                  <c:v>-89.449108966922225</c:v>
                </c:pt>
                <c:pt idx="42">
                  <c:v>-89.429413699283856</c:v>
                </c:pt>
                <c:pt idx="43">
                  <c:v>-89.404872081805976</c:v>
                </c:pt>
                <c:pt idx="44">
                  <c:v>-89.375282151808548</c:v>
                </c:pt>
                <c:pt idx="45">
                  <c:v>-89.340387065111315</c:v>
                </c:pt>
                <c:pt idx="46">
                  <c:v>-89.299898096364146</c:v>
                </c:pt>
                <c:pt idx="47">
                  <c:v>-89.253463163862719</c:v>
                </c:pt>
                <c:pt idx="48">
                  <c:v>-89.200700350459115</c:v>
                </c:pt>
                <c:pt idx="49">
                  <c:v>-89.141149073285945</c:v>
                </c:pt>
                <c:pt idx="50">
                  <c:v>-89.074313021902356</c:v>
                </c:pt>
                <c:pt idx="51">
                  <c:v>-88.999608386577648</c:v>
                </c:pt>
                <c:pt idx="52">
                  <c:v>-88.9164253178173</c:v>
                </c:pt>
                <c:pt idx="53">
                  <c:v>-88.824059037372095</c:v>
                </c:pt>
                <c:pt idx="54">
                  <c:v>-88.72179742788434</c:v>
                </c:pt>
                <c:pt idx="55">
                  <c:v>-88.608598453346261</c:v>
                </c:pt>
                <c:pt idx="56">
                  <c:v>-88.483655606191022</c:v>
                </c:pt>
                <c:pt idx="57">
                  <c:v>-88.345832588285205</c:v>
                </c:pt>
                <c:pt idx="58">
                  <c:v>-88.194071147126778</c:v>
                </c:pt>
                <c:pt idx="59">
                  <c:v>-88.026980858822057</c:v>
                </c:pt>
                <c:pt idx="60">
                  <c:v>-87.843252837865847</c:v>
                </c:pt>
                <c:pt idx="61">
                  <c:v>-87.641330566555681</c:v>
                </c:pt>
                <c:pt idx="62">
                  <c:v>-87.419410469197516</c:v>
                </c:pt>
                <c:pt idx="63">
                  <c:v>-87.175862301321857</c:v>
                </c:pt>
                <c:pt idx="64">
                  <c:v>-86.908480847441311</c:v>
                </c:pt>
                <c:pt idx="65">
                  <c:v>-86.615158706636095</c:v>
                </c:pt>
                <c:pt idx="66">
                  <c:v>-86.29347404882806</c:v>
                </c:pt>
                <c:pt idx="67">
                  <c:v>-85.940865449130797</c:v>
                </c:pt>
                <c:pt idx="68">
                  <c:v>-85.554390587807319</c:v>
                </c:pt>
                <c:pt idx="69">
                  <c:v>-85.131074043472509</c:v>
                </c:pt>
                <c:pt idx="70">
                  <c:v>-84.667505765275465</c:v>
                </c:pt>
                <c:pt idx="71">
                  <c:v>-84.160197413862946</c:v>
                </c:pt>
                <c:pt idx="72">
                  <c:v>-83.605193699620884</c:v>
                </c:pt>
                <c:pt idx="73">
                  <c:v>-82.998525815734084</c:v>
                </c:pt>
                <c:pt idx="74">
                  <c:v>-82.335677834305002</c:v>
                </c:pt>
                <c:pt idx="75">
                  <c:v>-81.61214617059079</c:v>
                </c:pt>
                <c:pt idx="76">
                  <c:v>-80.822941487010766</c:v>
                </c:pt>
                <c:pt idx="77">
                  <c:v>-79.963345351572841</c:v>
                </c:pt>
                <c:pt idx="78">
                  <c:v>-79.028298862887738</c:v>
                </c:pt>
                <c:pt idx="79">
                  <c:v>-78.013444427066759</c:v>
                </c:pt>
                <c:pt idx="80">
                  <c:v>-76.912142536278182</c:v>
                </c:pt>
                <c:pt idx="81">
                  <c:v>-75.721285100691787</c:v>
                </c:pt>
                <c:pt idx="82">
                  <c:v>-74.436039603882378</c:v>
                </c:pt>
                <c:pt idx="83">
                  <c:v>-73.054101571224408</c:v>
                </c:pt>
                <c:pt idx="84">
                  <c:v>-71.572287219707505</c:v>
                </c:pt>
                <c:pt idx="85">
                  <c:v>-69.990753988984281</c:v>
                </c:pt>
                <c:pt idx="86">
                  <c:v>-68.310512266744723</c:v>
                </c:pt>
                <c:pt idx="87">
                  <c:v>-66.534089322636717</c:v>
                </c:pt>
                <c:pt idx="88">
                  <c:v>-64.669347609934306</c:v>
                </c:pt>
                <c:pt idx="89">
                  <c:v>-62.724002706465086</c:v>
                </c:pt>
                <c:pt idx="90">
                  <c:v>-60.711224562998495</c:v>
                </c:pt>
                <c:pt idx="91">
                  <c:v>-58.646673496380522</c:v>
                </c:pt>
                <c:pt idx="92">
                  <c:v>-56.549729686920116</c:v>
                </c:pt>
                <c:pt idx="93">
                  <c:v>-54.441808392209538</c:v>
                </c:pt>
                <c:pt idx="94">
                  <c:v>-53.916201049858401</c:v>
                </c:pt>
                <c:pt idx="95">
                  <c:v>-53.652219050221518</c:v>
                </c:pt>
                <c:pt idx="96">
                  <c:v>-53.391621337821007</c:v>
                </c:pt>
                <c:pt idx="97">
                  <c:v>-53.128452746863118</c:v>
                </c:pt>
                <c:pt idx="98">
                  <c:v>-52.868760492723155</c:v>
                </c:pt>
                <c:pt idx="99">
                  <c:v>-52.606545690414322</c:v>
                </c:pt>
                <c:pt idx="100">
                  <c:v>-52.347899770057587</c:v>
                </c:pt>
                <c:pt idx="101">
                  <c:v>-52.086984689595106</c:v>
                </c:pt>
                <c:pt idx="102">
                  <c:v>-51.82972576628076</c:v>
                </c:pt>
                <c:pt idx="103">
                  <c:v>-51.570070129455161</c:v>
                </c:pt>
                <c:pt idx="104">
                  <c:v>-51.31416321989358</c:v>
                </c:pt>
                <c:pt idx="105">
                  <c:v>-51.05612406183802</c:v>
                </c:pt>
                <c:pt idx="106">
                  <c:v>-50.801920227194152</c:v>
                </c:pt>
                <c:pt idx="107">
                  <c:v>-50.545842451956922</c:v>
                </c:pt>
                <c:pt idx="108">
                  <c:v>-50.293680342577005</c:v>
                </c:pt>
                <c:pt idx="109">
                  <c:v>-50.039724397406737</c:v>
                </c:pt>
                <c:pt idx="110">
                  <c:v>-49.789763374722412</c:v>
                </c:pt>
                <c:pt idx="111">
                  <c:v>-49.537931697712565</c:v>
                </c:pt>
                <c:pt idx="112">
                  <c:v>-49.290178165624525</c:v>
                </c:pt>
                <c:pt idx="113">
                  <c:v>-49.040823390456673</c:v>
                </c:pt>
                <c:pt idx="114">
                  <c:v>-48.795622743731151</c:v>
                </c:pt>
                <c:pt idx="115">
                  <c:v>-48.548926783688437</c:v>
                </c:pt>
                <c:pt idx="116">
                  <c:v>-48.306458841251221</c:v>
                </c:pt>
                <c:pt idx="117">
                  <c:v>-48.062608958338529</c:v>
                </c:pt>
                <c:pt idx="118">
                  <c:v>-47.82305856094866</c:v>
                </c:pt>
                <c:pt idx="119">
                  <c:v>-47.582391053956712</c:v>
                </c:pt>
                <c:pt idx="120">
                  <c:v>-47.346086507727527</c:v>
                </c:pt>
                <c:pt idx="121">
                  <c:v>-47.108780714580149</c:v>
                </c:pt>
                <c:pt idx="122">
                  <c:v>-46.875898485812783</c:v>
                </c:pt>
                <c:pt idx="123">
                  <c:v>-46.642002467106835</c:v>
                </c:pt>
                <c:pt idx="124">
                  <c:v>-46.412592618159714</c:v>
                </c:pt>
                <c:pt idx="125">
                  <c:v>-46.182435020644533</c:v>
                </c:pt>
                <c:pt idx="126">
                  <c:v>-45.956817489528511</c:v>
                </c:pt>
                <c:pt idx="127">
                  <c:v>-45.730583424159235</c:v>
                </c:pt>
                <c:pt idx="128">
                  <c:v>-45.50893965417275</c:v>
                </c:pt>
                <c:pt idx="129">
                  <c:v>-45.286814495606272</c:v>
                </c:pt>
                <c:pt idx="130">
                  <c:v>-45.069325964218962</c:v>
                </c:pt>
                <c:pt idx="131">
                  <c:v>-44.851494536892027</c:v>
                </c:pt>
                <c:pt idx="132">
                  <c:v>-44.744338847494063</c:v>
                </c:pt>
                <c:pt idx="133">
                  <c:v>-44.638341961203899</c:v>
                </c:pt>
                <c:pt idx="134">
                  <c:v>-44.531014519647378</c:v>
                </c:pt>
                <c:pt idx="135">
                  <c:v>-44.42487883442432</c:v>
                </c:pt>
                <c:pt idx="136">
                  <c:v>-44.319923524917911</c:v>
                </c:pt>
                <c:pt idx="137">
                  <c:v>-44.216137311907893</c:v>
                </c:pt>
                <c:pt idx="138">
                  <c:v>-44.111192319394824</c:v>
                </c:pt>
                <c:pt idx="139">
                  <c:v>-44.007446573654484</c:v>
                </c:pt>
                <c:pt idx="140">
                  <c:v>-43.904888337653261</c:v>
                </c:pt>
                <c:pt idx="141">
                  <c:v>-43.803505984421918</c:v>
                </c:pt>
                <c:pt idx="142">
                  <c:v>-43.700925524726479</c:v>
                </c:pt>
                <c:pt idx="143">
                  <c:v>-43.599553070587454</c:v>
                </c:pt>
                <c:pt idx="144">
                  <c:v>-43.499376504336915</c:v>
                </c:pt>
                <c:pt idx="145">
                  <c:v>-43.400383827556148</c:v>
                </c:pt>
                <c:pt idx="146">
                  <c:v>-43.300311025377745</c:v>
                </c:pt>
                <c:pt idx="147">
                  <c:v>-43.201452563086619</c:v>
                </c:pt>
                <c:pt idx="148">
                  <c:v>-43.103795973176418</c:v>
                </c:pt>
                <c:pt idx="149">
                  <c:v>-43.007328916380793</c:v>
                </c:pt>
                <c:pt idx="150">
                  <c:v>-42.909849778802624</c:v>
                </c:pt>
                <c:pt idx="151">
                  <c:v>-42.813590093977531</c:v>
                </c:pt>
                <c:pt idx="152">
                  <c:v>-42.718537058849279</c:v>
                </c:pt>
                <c:pt idx="153">
                  <c:v>-42.624678007576975</c:v>
                </c:pt>
                <c:pt idx="154">
                  <c:v>-42.529832866993061</c:v>
                </c:pt>
                <c:pt idx="155">
                  <c:v>-42.436212171503989</c:v>
                </c:pt>
                <c:pt idx="156">
                  <c:v>-42.343802780085163</c:v>
                </c:pt>
                <c:pt idx="157">
                  <c:v>-42.252591698110685</c:v>
                </c:pt>
                <c:pt idx="158">
                  <c:v>-42.160468287544234</c:v>
                </c:pt>
                <c:pt idx="159">
                  <c:v>-42.069572990895395</c:v>
                </c:pt>
                <c:pt idx="160">
                  <c:v>-41.979892346263156</c:v>
                </c:pt>
                <c:pt idx="161">
                  <c:v>-41.891413047240853</c:v>
                </c:pt>
                <c:pt idx="162">
                  <c:v>-41.802134938301236</c:v>
                </c:pt>
                <c:pt idx="163">
                  <c:v>-41.714086205410474</c:v>
                </c:pt>
                <c:pt idx="164">
                  <c:v>-41.627253102130467</c:v>
                </c:pt>
                <c:pt idx="165">
                  <c:v>-41.54162204619054</c:v>
                </c:pt>
                <c:pt idx="166">
                  <c:v>-41.455190477009872</c:v>
                </c:pt>
                <c:pt idx="167">
                  <c:v>-41.369990384697715</c:v>
                </c:pt>
                <c:pt idx="168">
                  <c:v>-41.28600772136393</c:v>
                </c:pt>
                <c:pt idx="169">
                  <c:v>-41.2032286123547</c:v>
                </c:pt>
                <c:pt idx="170">
                  <c:v>-41.119901452350078</c:v>
                </c:pt>
                <c:pt idx="171">
                  <c:v>-41.037801336772304</c:v>
                </c:pt>
                <c:pt idx="172">
                  <c:v>-40.956914026428926</c:v>
                </c:pt>
                <c:pt idx="173">
                  <c:v>-40.87722546270561</c:v>
                </c:pt>
                <c:pt idx="174">
                  <c:v>-40.796757872622933</c:v>
                </c:pt>
                <c:pt idx="175">
                  <c:v>-40.717520880151099</c:v>
                </c:pt>
                <c:pt idx="176">
                  <c:v>-40.639499914044364</c:v>
                </c:pt>
                <c:pt idx="177">
                  <c:v>-40.562680593452257</c:v>
                </c:pt>
                <c:pt idx="178">
                  <c:v>-40.485203764975594</c:v>
                </c:pt>
                <c:pt idx="179">
                  <c:v>-40.40895844399008</c:v>
                </c:pt>
                <c:pt idx="180">
                  <c:v>-40.33392976927226</c:v>
                </c:pt>
                <c:pt idx="181">
                  <c:v>-40.260103079234767</c:v>
                </c:pt>
                <c:pt idx="182">
                  <c:v>-40.18602314035099</c:v>
                </c:pt>
                <c:pt idx="183">
                  <c:v>-40.113163556779512</c:v>
                </c:pt>
                <c:pt idx="184">
                  <c:v>-40.041509394949685</c:v>
                </c:pt>
                <c:pt idx="185">
                  <c:v>-39.97104592630842</c:v>
                </c:pt>
                <c:pt idx="186">
                  <c:v>-39.899873069825119</c:v>
                </c:pt>
                <c:pt idx="187">
                  <c:v>-39.829926305027207</c:v>
                </c:pt>
                <c:pt idx="188">
                  <c:v>-39.761190314796238</c:v>
                </c:pt>
                <c:pt idx="189">
                  <c:v>-39.693649998179744</c:v>
                </c:pt>
                <c:pt idx="190">
                  <c:v>-39.626035449740002</c:v>
                </c:pt>
                <c:pt idx="191">
                  <c:v>-39.559631653830081</c:v>
                </c:pt>
                <c:pt idx="192">
                  <c:v>-39.494423301591411</c:v>
                </c:pt>
                <c:pt idx="193">
                  <c:v>-39.430395304180898</c:v>
                </c:pt>
                <c:pt idx="194">
                  <c:v>-39.365900253384495</c:v>
                </c:pt>
                <c:pt idx="195">
                  <c:v>-39.302616759988062</c:v>
                </c:pt>
                <c:pt idx="196">
                  <c:v>-39.240529218359391</c:v>
                </c:pt>
                <c:pt idx="197">
                  <c:v>-39.179622252576493</c:v>
                </c:pt>
                <c:pt idx="198">
                  <c:v>-39.118585430599367</c:v>
                </c:pt>
                <c:pt idx="199">
                  <c:v>-39.058749708291735</c:v>
                </c:pt>
                <c:pt idx="200">
                  <c:v>-39.000099397991541</c:v>
                </c:pt>
                <c:pt idx="201">
                  <c:v>-38.942619047292744</c:v>
                </c:pt>
                <c:pt idx="202">
                  <c:v>-38.885098984264538</c:v>
                </c:pt>
                <c:pt idx="203">
                  <c:v>-38.828767704727497</c:v>
                </c:pt>
                <c:pt idx="204">
                  <c:v>-38.773609477521966</c:v>
                </c:pt>
                <c:pt idx="205">
                  <c:v>-38.719608811468667</c:v>
                </c:pt>
                <c:pt idx="206">
                  <c:v>-38.665470909199435</c:v>
                </c:pt>
                <c:pt idx="207">
                  <c:v>-38.612515765093207</c:v>
                </c:pt>
                <c:pt idx="208">
                  <c:v>-38.560727480357215</c:v>
                </c:pt>
                <c:pt idx="209">
                  <c:v>-38.510090403410786</c:v>
                </c:pt>
                <c:pt idx="210">
                  <c:v>-38.459253339830823</c:v>
                </c:pt>
                <c:pt idx="211">
                  <c:v>-38.409598503611853</c:v>
                </c:pt>
                <c:pt idx="212">
                  <c:v>-38.361109713282453</c:v>
                </c:pt>
                <c:pt idx="213">
                  <c:v>-38.313771044288764</c:v>
                </c:pt>
                <c:pt idx="214">
                  <c:v>-38.266657236370136</c:v>
                </c:pt>
                <c:pt idx="215">
                  <c:v>-38.220707194120145</c:v>
                </c:pt>
                <c:pt idx="216">
                  <c:v>-38.175904818761609</c:v>
                </c:pt>
                <c:pt idx="217">
                  <c:v>-38.132234270432228</c:v>
                </c:pt>
                <c:pt idx="218">
                  <c:v>-38.088722564916857</c:v>
                </c:pt>
                <c:pt idx="219">
                  <c:v>-38.046362179759356</c:v>
                </c:pt>
                <c:pt idx="220">
                  <c:v>-38.00513697732746</c:v>
                </c:pt>
                <c:pt idx="221">
                  <c:v>-37.965031083410025</c:v>
                </c:pt>
                <c:pt idx="222">
                  <c:v>-37.925171864677083</c:v>
                </c:pt>
                <c:pt idx="223">
                  <c:v>-37.886449688384225</c:v>
                </c:pt>
                <c:pt idx="224">
                  <c:v>-37.848848417418786</c:v>
                </c:pt>
                <c:pt idx="225">
                  <c:v>-37.812352181683387</c:v>
                </c:pt>
                <c:pt idx="226">
                  <c:v>-37.776076741308863</c:v>
                </c:pt>
                <c:pt idx="227">
                  <c:v>-37.740929183417641</c:v>
                </c:pt>
                <c:pt idx="228">
                  <c:v>-37.706893262186092</c:v>
                </c:pt>
                <c:pt idx="229">
                  <c:v>-37.673953004775861</c:v>
                </c:pt>
                <c:pt idx="230">
                  <c:v>-37.609826134831678</c:v>
                </c:pt>
                <c:pt idx="231">
                  <c:v>-37.579421179257515</c:v>
                </c:pt>
                <c:pt idx="232">
                  <c:v>-37.550100408329264</c:v>
                </c:pt>
                <c:pt idx="233">
                  <c:v>-37.521190239161243</c:v>
                </c:pt>
                <c:pt idx="234">
                  <c:v>-37.493383206745428</c:v>
                </c:pt>
                <c:pt idx="235">
                  <c:v>-37.466662980392719</c:v>
                </c:pt>
                <c:pt idx="236">
                  <c:v>-37.441013511334233</c:v>
                </c:pt>
                <c:pt idx="237">
                  <c:v>-37.415930819982037</c:v>
                </c:pt>
                <c:pt idx="238">
                  <c:v>-37.391929898090837</c:v>
                </c:pt>
                <c:pt idx="239">
                  <c:v>-37.36899457156639</c:v>
                </c:pt>
                <c:pt idx="240">
                  <c:v>-37.347108948038176</c:v>
                </c:pt>
                <c:pt idx="241">
                  <c:v>-37.325737696728325</c:v>
                </c:pt>
                <c:pt idx="242">
                  <c:v>-37.305437539096374</c:v>
                </c:pt>
                <c:pt idx="243">
                  <c:v>-37.28619221852302</c:v>
                </c:pt>
                <c:pt idx="244">
                  <c:v>-37.267985765391572</c:v>
                </c:pt>
                <c:pt idx="245">
                  <c:v>-37.250433168630856</c:v>
                </c:pt>
                <c:pt idx="246">
                  <c:v>-37.233933145424437</c:v>
                </c:pt>
                <c:pt idx="247">
                  <c:v>-37.218469532463295</c:v>
                </c:pt>
                <c:pt idx="248">
                  <c:v>-37.204026454551681</c:v>
                </c:pt>
                <c:pt idx="249">
                  <c:v>-37.190272983803446</c:v>
                </c:pt>
                <c:pt idx="250">
                  <c:v>-37.177557613963437</c:v>
                </c:pt>
                <c:pt idx="251">
                  <c:v>-37.16586418111639</c:v>
                </c:pt>
                <c:pt idx="252">
                  <c:v>-37.15517681273365</c:v>
                </c:pt>
                <c:pt idx="253">
                  <c:v>-37.145285287415042</c:v>
                </c:pt>
                <c:pt idx="254">
                  <c:v>-37.136410311175609</c:v>
                </c:pt>
                <c:pt idx="255">
                  <c:v>-37.128535883341016</c:v>
                </c:pt>
                <c:pt idx="256">
                  <c:v>-37.121646293896205</c:v>
                </c:pt>
                <c:pt idx="257">
                  <c:v>-37.115585490746675</c:v>
                </c:pt>
                <c:pt idx="258">
                  <c:v>-37.110528629516658</c:v>
                </c:pt>
                <c:pt idx="259">
                  <c:v>-37.10645966035603</c:v>
                </c:pt>
                <c:pt idx="260">
                  <c:v>-37.103362828421872</c:v>
                </c:pt>
                <c:pt idx="261">
                  <c:v>-37.1011850262569</c:v>
                </c:pt>
                <c:pt idx="262">
                  <c:v>-37.099991635832893</c:v>
                </c:pt>
                <c:pt idx="263">
                  <c:v>-37.099766719636882</c:v>
                </c:pt>
                <c:pt idx="264">
                  <c:v>-37.100494635528015</c:v>
                </c:pt>
                <c:pt idx="265">
                  <c:v>-37.102207571008236</c:v>
                </c:pt>
                <c:pt idx="266">
                  <c:v>-37.104884020413884</c:v>
                </c:pt>
                <c:pt idx="267">
                  <c:v>-37.108508190662185</c:v>
                </c:pt>
                <c:pt idx="268">
                  <c:v>-37.113064583533358</c:v>
                </c:pt>
                <c:pt idx="269">
                  <c:v>-37.118681414372965</c:v>
                </c:pt>
                <c:pt idx="270">
                  <c:v>-37.125244061775057</c:v>
                </c:pt>
                <c:pt idx="271">
                  <c:v>-37.132736796365606</c:v>
                </c:pt>
                <c:pt idx="272">
                  <c:v>-37.14114418506248</c:v>
                </c:pt>
                <c:pt idx="273">
                  <c:v>-37.150681322818237</c:v>
                </c:pt>
                <c:pt idx="274">
                  <c:v>-37.161144969245804</c:v>
                </c:pt>
                <c:pt idx="275">
                  <c:v>-37.172519494780914</c:v>
                </c:pt>
                <c:pt idx="276">
                  <c:v>-37.184789566626684</c:v>
                </c:pt>
                <c:pt idx="277">
                  <c:v>-37.198222063056441</c:v>
                </c:pt>
                <c:pt idx="278">
                  <c:v>-37.21255626763547</c:v>
                </c:pt>
                <c:pt idx="279">
                  <c:v>-37.227776787334228</c:v>
                </c:pt>
                <c:pt idx="280">
                  <c:v>-37.243868522837694</c:v>
                </c:pt>
                <c:pt idx="281">
                  <c:v>-37.261287529741729</c:v>
                </c:pt>
                <c:pt idx="282">
                  <c:v>-37.279594225403088</c:v>
                </c:pt>
                <c:pt idx="283">
                  <c:v>-37.298773173580422</c:v>
                </c:pt>
                <c:pt idx="284">
                  <c:v>-37.318809235755133</c:v>
                </c:pt>
                <c:pt idx="285">
                  <c:v>-37.340108937678863</c:v>
                </c:pt>
                <c:pt idx="286">
                  <c:v>-37.362269114763471</c:v>
                </c:pt>
                <c:pt idx="287">
                  <c:v>-37.385274624974691</c:v>
                </c:pt>
                <c:pt idx="288">
                  <c:v>-37.409110619325901</c:v>
                </c:pt>
                <c:pt idx="289">
                  <c:v>-37.434410779620968</c:v>
                </c:pt>
                <c:pt idx="290">
                  <c:v>-37.460554194686544</c:v>
                </c:pt>
                <c:pt idx="291">
                  <c:v>-37.487525750387078</c:v>
                </c:pt>
                <c:pt idx="292">
                  <c:v>-37.51531062776268</c:v>
                </c:pt>
                <c:pt idx="293">
                  <c:v>-37.54456417192592</c:v>
                </c:pt>
                <c:pt idx="294">
                  <c:v>-37.574638596961123</c:v>
                </c:pt>
                <c:pt idx="295">
                  <c:v>-37.605518947205255</c:v>
                </c:pt>
                <c:pt idx="296">
                  <c:v>-37.637190560892122</c:v>
                </c:pt>
                <c:pt idx="297">
                  <c:v>-37.670380848048289</c:v>
                </c:pt>
                <c:pt idx="298">
                  <c:v>-37.704368448699213</c:v>
                </c:pt>
                <c:pt idx="299">
                  <c:v>-37.73913859366484</c:v>
                </c:pt>
                <c:pt idx="300">
                  <c:v>-37.774676805606909</c:v>
                </c:pt>
                <c:pt idx="301">
                  <c:v>-37.811778927959644</c:v>
                </c:pt>
                <c:pt idx="302">
                  <c:v>-37.849653743756775</c:v>
                </c:pt>
                <c:pt idx="303">
                  <c:v>-37.888286695529757</c:v>
                </c:pt>
                <c:pt idx="304">
                  <c:v>-37.927663514888778</c:v>
                </c:pt>
                <c:pt idx="305">
                  <c:v>-37.968803988685529</c:v>
                </c:pt>
                <c:pt idx="306">
                  <c:v>-38.01069731923495</c:v>
                </c:pt>
                <c:pt idx="307">
                  <c:v>-38.053329019089695</c:v>
                </c:pt>
                <c:pt idx="308">
                  <c:v>-38.096684890845239</c:v>
                </c:pt>
                <c:pt idx="309">
                  <c:v>-38.141687158660083</c:v>
                </c:pt>
                <c:pt idx="310">
                  <c:v>-38.187415419086463</c:v>
                </c:pt>
                <c:pt idx="311">
                  <c:v>-38.233855449488892</c:v>
                </c:pt>
                <c:pt idx="312">
                  <c:v>-38.280993313046707</c:v>
                </c:pt>
                <c:pt idx="313">
                  <c:v>-38.329990176734178</c:v>
                </c:pt>
                <c:pt idx="314">
                  <c:v>-38.379690612430579</c:v>
                </c:pt>
                <c:pt idx="315">
                  <c:v>-38.430080526682012</c:v>
                </c:pt>
                <c:pt idx="316">
                  <c:v>-38.481146111229812</c:v>
                </c:pt>
                <c:pt idx="317">
                  <c:v>-38.534113409313051</c:v>
                </c:pt>
                <c:pt idx="318">
                  <c:v>-38.587760529789875</c:v>
                </c:pt>
                <c:pt idx="319">
                  <c:v>-38.642073538701531</c:v>
                </c:pt>
                <c:pt idx="320">
                  <c:v>-38.697038785864464</c:v>
                </c:pt>
                <c:pt idx="321">
                  <c:v>-38.753943512562081</c:v>
                </c:pt>
                <c:pt idx="322">
                  <c:v>-38.811503129833895</c:v>
                </c:pt>
                <c:pt idx="323">
                  <c:v>-38.869703890836085</c:v>
                </c:pt>
                <c:pt idx="324">
                  <c:v>-38.928532330346826</c:v>
                </c:pt>
                <c:pt idx="325">
                  <c:v>-38.989333273221412</c:v>
                </c:pt>
                <c:pt idx="326">
                  <c:v>-39.050763133205486</c:v>
                </c:pt>
                <c:pt idx="327">
                  <c:v>-39.112808375562558</c:v>
                </c:pt>
                <c:pt idx="328">
                  <c:v>-39.175455744360328</c:v>
                </c:pt>
                <c:pt idx="329">
                  <c:v>-39.240212720618338</c:v>
                </c:pt>
                <c:pt idx="330">
                  <c:v>-39.305573725529918</c:v>
                </c:pt>
                <c:pt idx="331">
                  <c:v>-39.371525392788953</c:v>
                </c:pt>
                <c:pt idx="332">
                  <c:v>-39.438054633303238</c:v>
                </c:pt>
                <c:pt idx="333">
                  <c:v>-39.506610925551591</c:v>
                </c:pt>
                <c:pt idx="334">
                  <c:v>-39.575743365491284</c:v>
                </c:pt>
                <c:pt idx="335">
                  <c:v>-39.645438845878076</c:v>
                </c:pt>
                <c:pt idx="336">
                  <c:v>-39.715684532628885</c:v>
                </c:pt>
                <c:pt idx="337">
                  <c:v>-39.788209388861979</c:v>
                </c:pt>
                <c:pt idx="338">
                  <c:v>-39.861285330807519</c:v>
                </c:pt>
                <c:pt idx="339">
                  <c:v>-39.934899405610828</c:v>
                </c:pt>
                <c:pt idx="340">
                  <c:v>-40.009038932476834</c:v>
                </c:pt>
                <c:pt idx="341">
                  <c:v>-40.085483625039835</c:v>
                </c:pt>
                <c:pt idx="342">
                  <c:v>-40.162453148989236</c:v>
                </c:pt>
                <c:pt idx="343">
                  <c:v>-40.239934734434222</c:v>
                </c:pt>
                <c:pt idx="344">
                  <c:v>-40.317915881726982</c:v>
                </c:pt>
                <c:pt idx="345">
                  <c:v>-40.398100844195994</c:v>
                </c:pt>
                <c:pt idx="346">
                  <c:v>-40.478781841972427</c:v>
                </c:pt>
                <c:pt idx="347">
                  <c:v>-40.559946370892455</c:v>
                </c:pt>
                <c:pt idx="348">
                  <c:v>-40.641582192962801</c:v>
                </c:pt>
                <c:pt idx="349">
                  <c:v>-40.725685288776781</c:v>
                </c:pt>
                <c:pt idx="350">
                  <c:v>-40.810257777958796</c:v>
                </c:pt>
                <c:pt idx="351">
                  <c:v>-40.895287330888578</c:v>
                </c:pt>
                <c:pt idx="352">
                  <c:v>-40.98076188271115</c:v>
                </c:pt>
                <c:pt idx="353">
                  <c:v>-41.068720233504997</c:v>
                </c:pt>
                <c:pt idx="354">
                  <c:v>-41.1571202542194</c:v>
                </c:pt>
                <c:pt idx="355">
                  <c:v>-41.245949817284398</c:v>
                </c:pt>
                <c:pt idx="356">
                  <c:v>-41.335197057825276</c:v>
                </c:pt>
                <c:pt idx="357">
                  <c:v>-41.426809455106472</c:v>
                </c:pt>
                <c:pt idx="358">
                  <c:v>-41.518833706001018</c:v>
                </c:pt>
                <c:pt idx="359">
                  <c:v>-41.611257960238191</c:v>
                </c:pt>
                <c:pt idx="360">
                  <c:v>-41.704070626114635</c:v>
                </c:pt>
                <c:pt idx="361">
                  <c:v>-41.799518461647864</c:v>
                </c:pt>
                <c:pt idx="362">
                  <c:v>-41.895349912301839</c:v>
                </c:pt>
                <c:pt idx="363">
                  <c:v>-41.991553326397074</c:v>
                </c:pt>
                <c:pt idx="364">
                  <c:v>-42.08811730909953</c:v>
                </c:pt>
                <c:pt idx="365">
                  <c:v>-42.187188232072927</c:v>
                </c:pt>
                <c:pt idx="366">
                  <c:v>-42.286612642157401</c:v>
                </c:pt>
                <c:pt idx="367">
                  <c:v>-42.386379158580219</c:v>
                </c:pt>
                <c:pt idx="368">
                  <c:v>-42.486476653715982</c:v>
                </c:pt>
                <c:pt idx="369">
                  <c:v>-42.589354031278887</c:v>
                </c:pt>
                <c:pt idx="370">
                  <c:v>-42.692555919022205</c:v>
                </c:pt>
                <c:pt idx="371">
                  <c:v>-42.79607113802976</c:v>
                </c:pt>
                <c:pt idx="372">
                  <c:v>-42.899888761034077</c:v>
                </c:pt>
                <c:pt idx="373">
                  <c:v>-43.006348680163491</c:v>
                </c:pt>
                <c:pt idx="374">
                  <c:v>-43.113102462672593</c:v>
                </c:pt>
                <c:pt idx="375">
                  <c:v>-43.2201392008431</c:v>
                </c:pt>
                <c:pt idx="376">
                  <c:v>-43.327448235209133</c:v>
                </c:pt>
                <c:pt idx="377">
                  <c:v>-43.437673271809288</c:v>
                </c:pt>
                <c:pt idx="378">
                  <c:v>-43.548162304293946</c:v>
                </c:pt>
                <c:pt idx="379">
                  <c:v>-43.65890463599338</c:v>
                </c:pt>
                <c:pt idx="380">
                  <c:v>-43.769889817105124</c:v>
                </c:pt>
                <c:pt idx="381">
                  <c:v>-43.883503415978332</c:v>
                </c:pt>
                <c:pt idx="382">
                  <c:v>-43.997349146092041</c:v>
                </c:pt>
                <c:pt idx="383">
                  <c:v>-44.11141662631907</c:v>
                </c:pt>
                <c:pt idx="384">
                  <c:v>-44.225695718003003</c:v>
                </c:pt>
                <c:pt idx="385">
                  <c:v>-44.343016191438053</c:v>
                </c:pt>
                <c:pt idx="386">
                  <c:v>-44.460538090782464</c:v>
                </c:pt>
                <c:pt idx="387">
                  <c:v>-44.578251257459449</c:v>
                </c:pt>
                <c:pt idx="388">
                  <c:v>-44.696145774057349</c:v>
                </c:pt>
                <c:pt idx="389">
                  <c:v>-44.816926424323533</c:v>
                </c:pt>
                <c:pt idx="390">
                  <c:v>-44.93787660441938</c:v>
                </c:pt>
                <c:pt idx="391">
                  <c:v>-45.058986441497815</c:v>
                </c:pt>
                <c:pt idx="392">
                  <c:v>-45.180246300821267</c:v>
                </c:pt>
                <c:pt idx="393">
                  <c:v>-45.304374811052028</c:v>
                </c:pt>
                <c:pt idx="394">
                  <c:v>-45.428640522689065</c:v>
                </c:pt>
                <c:pt idx="395">
                  <c:v>-45.553033870295877</c:v>
                </c:pt>
                <c:pt idx="396">
                  <c:v>-45.677545523006785</c:v>
                </c:pt>
                <c:pt idx="397">
                  <c:v>-45.805193138764132</c:v>
                </c:pt>
                <c:pt idx="398">
                  <c:v>-45.932945785724279</c:v>
                </c:pt>
                <c:pt idx="399">
                  <c:v>-46.060794163453053</c:v>
                </c:pt>
                <c:pt idx="400">
                  <c:v>-46.188729204176717</c:v>
                </c:pt>
                <c:pt idx="401">
                  <c:v>-46.319632578367525</c:v>
                </c:pt>
                <c:pt idx="402">
                  <c:v>-46.450608113759863</c:v>
                </c:pt>
                <c:pt idx="403">
                  <c:v>-46.581646830951151</c:v>
                </c:pt>
                <c:pt idx="404">
                  <c:v>-46.712739979687989</c:v>
                </c:pt>
                <c:pt idx="405">
                  <c:v>-46.846919157361107</c:v>
                </c:pt>
                <c:pt idx="406">
                  <c:v>-46.981137494982541</c:v>
                </c:pt>
                <c:pt idx="407">
                  <c:v>-47.115386326561868</c:v>
                </c:pt>
                <c:pt idx="408">
                  <c:v>-47.249657212250149</c:v>
                </c:pt>
                <c:pt idx="409">
                  <c:v>-47.387128942667971</c:v>
                </c:pt>
                <c:pt idx="410">
                  <c:v>-47.524606587139196</c:v>
                </c:pt>
                <c:pt idx="411">
                  <c:v>-47.662081789360137</c:v>
                </c:pt>
                <c:pt idx="412">
                  <c:v>-47.799546416571168</c:v>
                </c:pt>
                <c:pt idx="413">
                  <c:v>-47.940178589629383</c:v>
                </c:pt>
                <c:pt idx="414">
                  <c:v>-48.080783157686305</c:v>
                </c:pt>
                <c:pt idx="415">
                  <c:v>-48.221352098452947</c:v>
                </c:pt>
                <c:pt idx="416">
                  <c:v>-48.361877610013806</c:v>
                </c:pt>
                <c:pt idx="417">
                  <c:v>-48.505678834009096</c:v>
                </c:pt>
                <c:pt idx="418">
                  <c:v>-48.649418684364505</c:v>
                </c:pt>
                <c:pt idx="419">
                  <c:v>-48.793089471991365</c:v>
                </c:pt>
                <c:pt idx="420">
                  <c:v>-48.936683725331761</c:v>
                </c:pt>
                <c:pt idx="421">
                  <c:v>-49.083369470480456</c:v>
                </c:pt>
                <c:pt idx="422">
                  <c:v>-49.229960142218729</c:v>
                </c:pt>
                <c:pt idx="423">
                  <c:v>-49.376448429720107</c:v>
                </c:pt>
                <c:pt idx="424">
                  <c:v>-49.522827235428728</c:v>
                </c:pt>
                <c:pt idx="425">
                  <c:v>-49.672687122341848</c:v>
                </c:pt>
                <c:pt idx="426">
                  <c:v>-49.822417649846635</c:v>
                </c:pt>
                <c:pt idx="427">
                  <c:v>-49.972011843566662</c:v>
                </c:pt>
                <c:pt idx="428">
                  <c:v>-50.121462940065342</c:v>
                </c:pt>
                <c:pt idx="429">
                  <c:v>-50.274204673495461</c:v>
                </c:pt>
                <c:pt idx="430">
                  <c:v>-50.426782966369018</c:v>
                </c:pt>
                <c:pt idx="431">
                  <c:v>-50.579191225694942</c:v>
                </c:pt>
                <c:pt idx="432">
                  <c:v>-50.731423065637202</c:v>
                </c:pt>
                <c:pt idx="433">
                  <c:v>-50.886896612824756</c:v>
                </c:pt>
                <c:pt idx="434">
                  <c:v>-51.042172834481597</c:v>
                </c:pt>
                <c:pt idx="435">
                  <c:v>-51.197245539238295</c:v>
                </c:pt>
                <c:pt idx="436">
                  <c:v>-51.3521087385312</c:v>
                </c:pt>
                <c:pt idx="437">
                  <c:v>-51.510446199457</c:v>
                </c:pt>
                <c:pt idx="438">
                  <c:v>-51.668551953512747</c:v>
                </c:pt>
                <c:pt idx="439">
                  <c:v>-51.826420197995027</c:v>
                </c:pt>
                <c:pt idx="440">
                  <c:v>-51.984045329535675</c:v>
                </c:pt>
                <c:pt idx="441">
                  <c:v>-52.145088699533481</c:v>
                </c:pt>
                <c:pt idx="442">
                  <c:v>-52.305866229783817</c:v>
                </c:pt>
                <c:pt idx="443">
                  <c:v>-52.466372528525739</c:v>
                </c:pt>
                <c:pt idx="444">
                  <c:v>-52.626602399205218</c:v>
                </c:pt>
                <c:pt idx="445">
                  <c:v>-52.790192266793433</c:v>
                </c:pt>
                <c:pt idx="446">
                  <c:v>-52.953482570521238</c:v>
                </c:pt>
                <c:pt idx="447">
                  <c:v>-53.116468348986103</c:v>
                </c:pt>
                <c:pt idx="448">
                  <c:v>-53.279144831244651</c:v>
                </c:pt>
                <c:pt idx="449">
                  <c:v>-53.445399128039057</c:v>
                </c:pt>
                <c:pt idx="450">
                  <c:v>-53.611319572056203</c:v>
                </c:pt>
                <c:pt idx="451">
                  <c:v>-53.776901626523063</c:v>
                </c:pt>
                <c:pt idx="452">
                  <c:v>-53.942140941024789</c:v>
                </c:pt>
                <c:pt idx="453">
                  <c:v>-54.110754909522946</c:v>
                </c:pt>
                <c:pt idx="454">
                  <c:v>-54.279001847428823</c:v>
                </c:pt>
                <c:pt idx="455">
                  <c:v>-54.446877672685304</c:v>
                </c:pt>
                <c:pt idx="456">
                  <c:v>-54.61437848421081</c:v>
                </c:pt>
                <c:pt idx="457">
                  <c:v>-54.785461998499507</c:v>
                </c:pt>
                <c:pt idx="458">
                  <c:v>-54.956144772843558</c:v>
                </c:pt>
                <c:pt idx="459">
                  <c:v>-55.12642317681378</c:v>
                </c:pt>
                <c:pt idx="460">
                  <c:v>-55.296293756104866</c:v>
                </c:pt>
                <c:pt idx="461">
                  <c:v>-55.469676643554173</c:v>
                </c:pt>
                <c:pt idx="462">
                  <c:v>-55.642625804731665</c:v>
                </c:pt>
                <c:pt idx="463">
                  <c:v>-55.815138077943011</c:v>
                </c:pt>
                <c:pt idx="464">
                  <c:v>-55.987210472080108</c:v>
                </c:pt>
                <c:pt idx="465">
                  <c:v>-56.162857400801983</c:v>
                </c:pt>
                <c:pt idx="466">
                  <c:v>-56.338037774948084</c:v>
                </c:pt>
                <c:pt idx="467">
                  <c:v>-56.512748909371169</c:v>
                </c:pt>
                <c:pt idx="468">
                  <c:v>-56.686988283829692</c:v>
                </c:pt>
                <c:pt idx="469">
                  <c:v>-56.864727323849309</c:v>
                </c:pt>
                <c:pt idx="470">
                  <c:v>-57.041967920820916</c:v>
                </c:pt>
                <c:pt idx="471">
                  <c:v>-57.218707879525383</c:v>
                </c:pt>
                <c:pt idx="472">
                  <c:v>-57.394945163306794</c:v>
                </c:pt>
                <c:pt idx="473">
                  <c:v>-57.574868308296836</c:v>
                </c:pt>
                <c:pt idx="474">
                  <c:v>-57.754260649522678</c:v>
                </c:pt>
                <c:pt idx="475">
                  <c:v>-57.933120484517261</c:v>
                </c:pt>
                <c:pt idx="476">
                  <c:v>-58.111446263298802</c:v>
                </c:pt>
                <c:pt idx="477">
                  <c:v>-58.293376895812735</c:v>
                </c:pt>
                <c:pt idx="478">
                  <c:v>-58.47474545253683</c:v>
                </c:pt>
                <c:pt idx="479">
                  <c:v>-58.655550735733335</c:v>
                </c:pt>
                <c:pt idx="480">
                  <c:v>-58.835791693374155</c:v>
                </c:pt>
                <c:pt idx="481">
                  <c:v>-59.019555992637919</c:v>
                </c:pt>
                <c:pt idx="482">
                  <c:v>-59.202728168004072</c:v>
                </c:pt>
                <c:pt idx="483">
                  <c:v>-59.385307534721051</c:v>
                </c:pt>
                <c:pt idx="484">
                  <c:v>-59.56729354633643</c:v>
                </c:pt>
                <c:pt idx="485">
                  <c:v>-59.752847292642898</c:v>
                </c:pt>
                <c:pt idx="486">
                  <c:v>-59.937779364514654</c:v>
                </c:pt>
                <c:pt idx="487">
                  <c:v>-60.122089594599522</c:v>
                </c:pt>
                <c:pt idx="488">
                  <c:v>-60.305777946214064</c:v>
                </c:pt>
                <c:pt idx="489">
                  <c:v>-60.493198621035276</c:v>
                </c:pt>
                <c:pt idx="490">
                  <c:v>-60.679967752089048</c:v>
                </c:pt>
                <c:pt idx="491">
                  <c:v>-60.866085694588563</c:v>
                </c:pt>
                <c:pt idx="492">
                  <c:v>-61.051552926854995</c:v>
                </c:pt>
                <c:pt idx="493">
                  <c:v>-61.240663240814783</c:v>
                </c:pt>
                <c:pt idx="494">
                  <c:v>-61.429093594210535</c:v>
                </c:pt>
                <c:pt idx="495">
                  <c:v>-61.616844869316225</c:v>
                </c:pt>
                <c:pt idx="496">
                  <c:v>-61.803918063315898</c:v>
                </c:pt>
                <c:pt idx="497">
                  <c:v>-61.994666335710853</c:v>
                </c:pt>
                <c:pt idx="498">
                  <c:v>-62.184706894775957</c:v>
                </c:pt>
                <c:pt idx="499">
                  <c:v>-62.37404115324663</c:v>
                </c:pt>
                <c:pt idx="500">
                  <c:v>-62.562670630276472</c:v>
                </c:pt>
                <c:pt idx="501">
                  <c:v>-62.755003284225722</c:v>
                </c:pt>
                <c:pt idx="502">
                  <c:v>-62.946601196387498</c:v>
                </c:pt>
                <c:pt idx="503">
                  <c:v>-63.137466312633308</c:v>
                </c:pt>
                <c:pt idx="504">
                  <c:v>-63.327600676454388</c:v>
                </c:pt>
                <c:pt idx="505">
                  <c:v>-63.521345290554706</c:v>
                </c:pt>
                <c:pt idx="506">
                  <c:v>-63.714329841224803</c:v>
                </c:pt>
                <c:pt idx="507">
                  <c:v>-63.906556804647742</c:v>
                </c:pt>
                <c:pt idx="508">
                  <c:v>-64.098028745305115</c:v>
                </c:pt>
                <c:pt idx="509">
                  <c:v>-64.293134457536397</c:v>
                </c:pt>
                <c:pt idx="510">
                  <c:v>-64.487455642743456</c:v>
                </c:pt>
                <c:pt idx="511">
                  <c:v>-64.680995306252157</c:v>
                </c:pt>
                <c:pt idx="512">
                  <c:v>-64.873756532116133</c:v>
                </c:pt>
                <c:pt idx="513">
                  <c:v>-65.070285222907927</c:v>
                </c:pt>
                <c:pt idx="514">
                  <c:v>-65.266004899544043</c:v>
                </c:pt>
                <c:pt idx="515">
                  <c:v>-65.460919100518311</c:v>
                </c:pt>
                <c:pt idx="516">
                  <c:v>-65.655031433389084</c:v>
                </c:pt>
                <c:pt idx="517">
                  <c:v>-65.852813598094443</c:v>
                </c:pt>
                <c:pt idx="518">
                  <c:v>-66.049764164549103</c:v>
                </c:pt>
                <c:pt idx="519">
                  <c:v>-66.245887195772397</c:v>
                </c:pt>
                <c:pt idx="520">
                  <c:v>-66.44118681375501</c:v>
                </c:pt>
                <c:pt idx="521">
                  <c:v>-66.640170065627927</c:v>
                </c:pt>
                <c:pt idx="522">
                  <c:v>-66.838300153223656</c:v>
                </c:pt>
                <c:pt idx="523">
                  <c:v>-67.035581659428175</c:v>
                </c:pt>
                <c:pt idx="524">
                  <c:v>-67.232019215781406</c:v>
                </c:pt>
                <c:pt idx="525">
                  <c:v>-67.432151327346105</c:v>
                </c:pt>
                <c:pt idx="526">
                  <c:v>-67.631409775114847</c:v>
                </c:pt>
                <c:pt idx="527">
                  <c:v>-67.829799655853094</c:v>
                </c:pt>
                <c:pt idx="528">
                  <c:v>-68.027326104456776</c:v>
                </c:pt>
                <c:pt idx="529">
                  <c:v>-68.228555332396041</c:v>
                </c:pt>
                <c:pt idx="530">
                  <c:v>-68.428891509051596</c:v>
                </c:pt>
                <c:pt idx="531">
                  <c:v>-68.628340237688548</c:v>
                </c:pt>
                <c:pt idx="532">
                  <c:v>-68.826907148996838</c:v>
                </c:pt>
                <c:pt idx="533">
                  <c:v>-69.029286745982375</c:v>
                </c:pt>
                <c:pt idx="534">
                  <c:v>-69.230754120196494</c:v>
                </c:pt>
                <c:pt idx="535">
                  <c:v>-69.431315382056411</c:v>
                </c:pt>
                <c:pt idx="536">
                  <c:v>-69.630976658575378</c:v>
                </c:pt>
                <c:pt idx="537">
                  <c:v>-69.834246540896643</c:v>
                </c:pt>
                <c:pt idx="538">
                  <c:v>-70.036588110199645</c:v>
                </c:pt>
                <c:pt idx="539">
                  <c:v>-70.238007954861317</c:v>
                </c:pt>
                <c:pt idx="540">
                  <c:v>-70.438512668834989</c:v>
                </c:pt>
                <c:pt idx="541">
                  <c:v>-70.642830983383064</c:v>
                </c:pt>
                <c:pt idx="542">
                  <c:v>-70.846204241438556</c:v>
                </c:pt>
                <c:pt idx="543">
                  <c:v>-71.048639517492091</c:v>
                </c:pt>
                <c:pt idx="544">
                  <c:v>-71.250143880527133</c:v>
                </c:pt>
                <c:pt idx="545">
                  <c:v>-71.455359770906199</c:v>
                </c:pt>
                <c:pt idx="546">
                  <c:v>-71.659616064508242</c:v>
                </c:pt>
                <c:pt idx="547">
                  <c:v>-71.862920298713959</c:v>
                </c:pt>
                <c:pt idx="548">
                  <c:v>-72.065279994252904</c:v>
                </c:pt>
                <c:pt idx="549">
                  <c:v>-72.271348800604102</c:v>
                </c:pt>
                <c:pt idx="550">
                  <c:v>-72.476444749018086</c:v>
                </c:pt>
                <c:pt idx="551">
                  <c:v>-72.680575825114175</c:v>
                </c:pt>
                <c:pt idx="552">
                  <c:v>-72.883749986709475</c:v>
                </c:pt>
                <c:pt idx="553">
                  <c:v>-73.090724272851816</c:v>
                </c:pt>
                <c:pt idx="554">
                  <c:v>-73.296712833692183</c:v>
                </c:pt>
                <c:pt idx="555">
                  <c:v>-73.501724098696599</c:v>
                </c:pt>
                <c:pt idx="556">
                  <c:v>-73.705766458340364</c:v>
                </c:pt>
                <c:pt idx="557">
                  <c:v>-74.120438108719966</c:v>
                </c:pt>
                <c:pt idx="558">
                  <c:v>-74.531156147386582</c:v>
                </c:pt>
                <c:pt idx="559">
                  <c:v>-74.947271039080363</c:v>
                </c:pt>
                <c:pt idx="560">
                  <c:v>-75.359396755590254</c:v>
                </c:pt>
                <c:pt idx="561">
                  <c:v>-75.777244740233783</c:v>
                </c:pt>
                <c:pt idx="562">
                  <c:v>-76.191066335780931</c:v>
                </c:pt>
                <c:pt idx="563">
                  <c:v>-76.609690706113881</c:v>
                </c:pt>
                <c:pt idx="564">
                  <c:v>-77.024273823996111</c:v>
                </c:pt>
                <c:pt idx="565">
                  <c:v>-77.445195745519911</c:v>
                </c:pt>
                <c:pt idx="566">
                  <c:v>-77.862036358355411</c:v>
                </c:pt>
                <c:pt idx="567">
                  <c:v>-78.284979760312424</c:v>
                </c:pt>
                <c:pt idx="568">
                  <c:v>-78.703811208919149</c:v>
                </c:pt>
                <c:pt idx="569">
                  <c:v>-79.126871129699509</c:v>
                </c:pt>
                <c:pt idx="570">
                  <c:v>-79.545829477738479</c:v>
                </c:pt>
                <c:pt idx="571">
                  <c:v>-79.972107469313158</c:v>
                </c:pt>
                <c:pt idx="572">
                  <c:v>-80.394238606697257</c:v>
                </c:pt>
                <c:pt idx="573">
                  <c:v>-80.82025229109729</c:v>
                </c:pt>
                <c:pt idx="574">
                  <c:v>-81.24214543031303</c:v>
                </c:pt>
                <c:pt idx="575">
                  <c:v>-81.670910606623124</c:v>
                </c:pt>
                <c:pt idx="576">
                  <c:v>-82.095527719012964</c:v>
                </c:pt>
                <c:pt idx="577">
                  <c:v>-83.849333733866601</c:v>
                </c:pt>
                <c:pt idx="578">
                  <c:v>-85.537071134438108</c:v>
                </c:pt>
                <c:pt idx="579">
                  <c:v>-89.032880291926659</c:v>
                </c:pt>
                <c:pt idx="580">
                  <c:v>-92.599553759499486</c:v>
                </c:pt>
                <c:pt idx="581">
                  <c:v>-96.246565439392171</c:v>
                </c:pt>
                <c:pt idx="582">
                  <c:v>-99.994214634557579</c:v>
                </c:pt>
                <c:pt idx="583">
                  <c:v>-103.86077181762792</c:v>
                </c:pt>
                <c:pt idx="584">
                  <c:v>-107.87303586078779</c:v>
                </c:pt>
                <c:pt idx="585">
                  <c:v>-112.05521659909317</c:v>
                </c:pt>
                <c:pt idx="586">
                  <c:v>-116.43670281240892</c:v>
                </c:pt>
                <c:pt idx="587">
                  <c:v>-121.0509718351517</c:v>
                </c:pt>
                <c:pt idx="588">
                  <c:v>-125.92647842543975</c:v>
                </c:pt>
                <c:pt idx="589">
                  <c:v>-131.10143387761107</c:v>
                </c:pt>
                <c:pt idx="590">
                  <c:v>-136.60923437064952</c:v>
                </c:pt>
                <c:pt idx="591">
                  <c:v>-142.48553184218773</c:v>
                </c:pt>
                <c:pt idx="592">
                  <c:v>-148.76314962021596</c:v>
                </c:pt>
                <c:pt idx="593">
                  <c:v>-155.47393072664218</c:v>
                </c:pt>
                <c:pt idx="594">
                  <c:v>-162.63912633794254</c:v>
                </c:pt>
                <c:pt idx="595">
                  <c:v>-170.27172136080213</c:v>
                </c:pt>
                <c:pt idx="596">
                  <c:v>-178.36457880033731</c:v>
                </c:pt>
                <c:pt idx="597">
                  <c:v>-186.89035526691958</c:v>
                </c:pt>
                <c:pt idx="598">
                  <c:v>-195.78857976661811</c:v>
                </c:pt>
                <c:pt idx="599">
                  <c:v>-204.97073560443505</c:v>
                </c:pt>
                <c:pt idx="600">
                  <c:v>-214.31406786199835</c:v>
                </c:pt>
              </c:numCache>
            </c:numRef>
          </c:yVal>
          <c:smooth val="0"/>
          <c:extLst>
            <c:ext xmlns:c16="http://schemas.microsoft.com/office/drawing/2014/chart" uri="{C3380CC4-5D6E-409C-BE32-E72D297353CC}">
              <c16:uniqueId val="{0000000B-10BD-4998-8A98-65686C23F2C0}"/>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10BD-4998-8A98-65686C23F2C0}"/>
              </c:ext>
            </c:extLst>
          </c:dPt>
          <c:xVal>
            <c:numRef>
              <c:f>'Ch2 Stability Calculations'!$A$617:$A$618</c:f>
              <c:numCache>
                <c:formatCode>General</c:formatCode>
                <c:ptCount val="2"/>
                <c:pt idx="0">
                  <c:v>15400</c:v>
                </c:pt>
                <c:pt idx="1">
                  <c:v>15400</c:v>
                </c:pt>
              </c:numCache>
            </c:numRef>
          </c:xVal>
          <c:yVal>
            <c:numRef>
              <c:f>'Ch2 Stability Calculations'!$R$617:$R$618</c:f>
              <c:numCache>
                <c:formatCode>0.00</c:formatCode>
                <c:ptCount val="2"/>
                <c:pt idx="0">
                  <c:v>-37.36899457156639</c:v>
                </c:pt>
                <c:pt idx="1">
                  <c:v>-135</c:v>
                </c:pt>
              </c:numCache>
            </c:numRef>
          </c:yVal>
          <c:smooth val="0"/>
          <c:extLst>
            <c:ext xmlns:c16="http://schemas.microsoft.com/office/drawing/2014/chart" uri="{C3380CC4-5D6E-409C-BE32-E72D297353CC}">
              <c16:uniqueId val="{0000000D-10BD-4998-8A98-65686C23F2C0}"/>
            </c:ext>
          </c:extLst>
        </c:ser>
        <c:ser>
          <c:idx val="0"/>
          <c:order val="8"/>
          <c:tx>
            <c:v>Fc2</c:v>
          </c:tx>
          <c:spPr>
            <a:ln w="22225">
              <a:solidFill>
                <a:schemeClr val="tx1">
                  <a:lumMod val="50000"/>
                  <a:lumOff val="50000"/>
                </a:schemeClr>
              </a:solidFill>
              <a:prstDash val="sysDash"/>
            </a:ln>
          </c:spPr>
          <c:marker>
            <c:symbol val="none"/>
          </c:marker>
          <c:xVal>
            <c:numRef>
              <c:f>'Ch2 Stability Calculations'!$A$619:$A$620</c:f>
              <c:numCache>
                <c:formatCode>General</c:formatCode>
                <c:ptCount val="2"/>
                <c:pt idx="0">
                  <c:v>15400</c:v>
                </c:pt>
                <c:pt idx="1">
                  <c:v>1000000</c:v>
                </c:pt>
              </c:numCache>
            </c:numRef>
          </c:xVal>
          <c:yVal>
            <c:numRef>
              <c:f>'Ch2 Stability Calculations'!$R$619:$R$620</c:f>
              <c:numCache>
                <c:formatCode>0.00</c:formatCode>
                <c:ptCount val="2"/>
                <c:pt idx="1">
                  <c:v>-37.36899457156639</c:v>
                </c:pt>
              </c:numCache>
            </c:numRef>
          </c:yVal>
          <c:smooth val="0"/>
          <c:extLst>
            <c:ext xmlns:c16="http://schemas.microsoft.com/office/drawing/2014/chart" uri="{C3380CC4-5D6E-409C-BE32-E72D297353CC}">
              <c16:uniqueId val="{0000000E-10BD-4998-8A98-65686C23F2C0}"/>
            </c:ext>
          </c:extLst>
        </c:ser>
        <c:dLbls>
          <c:showLegendKey val="0"/>
          <c:showVal val="0"/>
          <c:showCatName val="0"/>
          <c:showSerName val="0"/>
          <c:showPercent val="0"/>
          <c:showBubbleSize val="0"/>
        </c:dLbls>
        <c:axId val="185190272"/>
        <c:axId val="185191808"/>
      </c:scatterChart>
      <c:valAx>
        <c:axId val="185161600"/>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85188352"/>
        <c:crossesAt val="-80"/>
        <c:crossBetween val="midCat"/>
      </c:valAx>
      <c:valAx>
        <c:axId val="18518835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85161600"/>
        <c:crossesAt val="1.0000000000000005E-2"/>
        <c:crossBetween val="midCat"/>
        <c:majorUnit val="20"/>
      </c:valAx>
      <c:valAx>
        <c:axId val="185190272"/>
        <c:scaling>
          <c:logBase val="10"/>
          <c:orientation val="minMax"/>
        </c:scaling>
        <c:delete val="1"/>
        <c:axPos val="b"/>
        <c:numFmt formatCode="General" sourceLinked="1"/>
        <c:majorTickMark val="out"/>
        <c:minorTickMark val="none"/>
        <c:tickLblPos val="none"/>
        <c:crossAx val="185191808"/>
        <c:crosses val="autoZero"/>
        <c:crossBetween val="midCat"/>
      </c:valAx>
      <c:valAx>
        <c:axId val="185191808"/>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8519027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Calculations'!$AW$9:$AW$109</c:f>
              <c:numCache>
                <c:formatCode>0.0</c:formatCode>
                <c:ptCount val="101"/>
                <c:pt idx="0">
                  <c:v>25.959399526040848</c:v>
                </c:pt>
                <c:pt idx="1">
                  <c:v>27.54279055464832</c:v>
                </c:pt>
                <c:pt idx="2">
                  <c:v>29.099274600506032</c:v>
                </c:pt>
                <c:pt idx="3">
                  <c:v>30.62885289665185</c:v>
                </c:pt>
                <c:pt idx="4">
                  <c:v>32.131526579556322</c:v>
                </c:pt>
                <c:pt idx="5">
                  <c:v>33.607296689031251</c:v>
                </c:pt>
                <c:pt idx="6">
                  <c:v>35.056164168137805</c:v>
                </c:pt>
                <c:pt idx="7">
                  <c:v>36.478129863093507</c:v>
                </c:pt>
                <c:pt idx="8">
                  <c:v>37.87319452317837</c:v>
                </c:pt>
                <c:pt idx="9">
                  <c:v>39.241358800640278</c:v>
                </c:pt>
                <c:pt idx="10">
                  <c:v>40.582623250599461</c:v>
                </c:pt>
                <c:pt idx="11">
                  <c:v>41.896988330951999</c:v>
                </c:pt>
                <c:pt idx="12">
                  <c:v>43.184454402272571</c:v>
                </c:pt>
                <c:pt idx="13">
                  <c:v>44.445021727716245</c:v>
                </c:pt>
                <c:pt idx="14">
                  <c:v>45.678690472919406</c:v>
                </c:pt>
                <c:pt idx="15">
                  <c:v>46.885460705899817</c:v>
                </c:pt>
                <c:pt idx="16">
                  <c:v>48.065332396955831</c:v>
                </c:pt>
                <c:pt idx="17">
                  <c:v>49.218305418564547</c:v>
                </c:pt>
                <c:pt idx="18">
                  <c:v>50.344379545279338</c:v>
                </c:pt>
                <c:pt idx="19">
                  <c:v>51.443554453626192</c:v>
                </c:pt>
                <c:pt idx="20">
                  <c:v>52.515829721999438</c:v>
                </c:pt>
                <c:pt idx="21">
                  <c:v>53.561204830556278</c:v>
                </c:pt>
                <c:pt idx="22">
                  <c:v>54.579679161110683</c:v>
                </c:pt>
                <c:pt idx="23">
                  <c:v>55.571251997026316</c:v>
                </c:pt>
                <c:pt idx="24">
                  <c:v>56.535922523108361</c:v>
                </c:pt>
                <c:pt idx="25">
                  <c:v>57.529711479031612</c:v>
                </c:pt>
                <c:pt idx="26">
                  <c:v>58.563636056788525</c:v>
                </c:pt>
                <c:pt idx="27">
                  <c:v>59.597740964355403</c:v>
                </c:pt>
                <c:pt idx="28">
                  <c:v>60.632026609796398</c:v>
                </c:pt>
                <c:pt idx="29">
                  <c:v>61.666493402095156</c:v>
                </c:pt>
                <c:pt idx="30">
                  <c:v>62.701141751158218</c:v>
                </c:pt>
                <c:pt idx="31">
                  <c:v>63.735972067818103</c:v>
                </c:pt>
                <c:pt idx="32">
                  <c:v>64.770984763836637</c:v>
                </c:pt>
                <c:pt idx="33">
                  <c:v>65.806180251908188</c:v>
                </c:pt>
                <c:pt idx="34">
                  <c:v>66.84155894566301</c:v>
                </c:pt>
                <c:pt idx="35">
                  <c:v>67.877121259670375</c:v>
                </c:pt>
                <c:pt idx="36">
                  <c:v>68.91286760944206</c:v>
                </c:pt>
                <c:pt idx="37">
                  <c:v>69.948798411435476</c:v>
                </c:pt>
                <c:pt idx="38">
                  <c:v>70.98491408305712</c:v>
                </c:pt>
                <c:pt idx="39">
                  <c:v>72.02121504266583</c:v>
                </c:pt>
                <c:pt idx="40">
                  <c:v>73.057701709576236</c:v>
                </c:pt>
                <c:pt idx="41">
                  <c:v>74.094374504061932</c:v>
                </c:pt>
                <c:pt idx="42">
                  <c:v>75.131233847359084</c:v>
                </c:pt>
                <c:pt idx="43">
                  <c:v>76.168280161669585</c:v>
                </c:pt>
                <c:pt idx="44">
                  <c:v>77.205513870164623</c:v>
                </c:pt>
                <c:pt idx="45">
                  <c:v>78.242935396987974</c:v>
                </c:pt>
                <c:pt idx="46">
                  <c:v>79.28054516725949</c:v>
                </c:pt>
                <c:pt idx="47">
                  <c:v>80.318343607078518</c:v>
                </c:pt>
                <c:pt idx="48">
                  <c:v>81.356331143527314</c:v>
                </c:pt>
                <c:pt idx="49">
                  <c:v>82.39450820467458</c:v>
                </c:pt>
                <c:pt idx="50">
                  <c:v>83.432875219578804</c:v>
                </c:pt>
                <c:pt idx="51">
                  <c:v>84.471432618291885</c:v>
                </c:pt>
                <c:pt idx="52">
                  <c:v>85.51018083186257</c:v>
                </c:pt>
                <c:pt idx="53">
                  <c:v>86.549120292339893</c:v>
                </c:pt>
                <c:pt idx="54">
                  <c:v>87.588251432776815</c:v>
                </c:pt>
                <c:pt idx="55">
                  <c:v>88.627574687233746</c:v>
                </c:pt>
                <c:pt idx="56">
                  <c:v>89.667090490782016</c:v>
                </c:pt>
                <c:pt idx="57">
                  <c:v>90.706799279507479</c:v>
                </c:pt>
                <c:pt idx="58">
                  <c:v>91.746701490514113</c:v>
                </c:pt>
                <c:pt idx="59">
                  <c:v>92.7867975619276</c:v>
                </c:pt>
                <c:pt idx="60">
                  <c:v>93.827087932898905</c:v>
                </c:pt>
                <c:pt idx="61">
                  <c:v>94.867573043607905</c:v>
                </c:pt>
                <c:pt idx="62">
                  <c:v>95.90825333526702</c:v>
                </c:pt>
                <c:pt idx="63">
                  <c:v>96.949129250124869</c:v>
                </c:pt>
                <c:pt idx="64">
                  <c:v>97.990201231469896</c:v>
                </c:pt>
                <c:pt idx="65">
                  <c:v>99.031469723634075</c:v>
                </c:pt>
                <c:pt idx="66">
                  <c:v>100.07293517199662</c:v>
                </c:pt>
                <c:pt idx="67">
                  <c:v>101.11459802298759</c:v>
                </c:pt>
                <c:pt idx="68">
                  <c:v>102.15645872409166</c:v>
                </c:pt>
                <c:pt idx="69">
                  <c:v>103.19851772385186</c:v>
                </c:pt>
                <c:pt idx="70">
                  <c:v>104.24077547187333</c:v>
                </c:pt>
                <c:pt idx="71">
                  <c:v>105.283232418827</c:v>
                </c:pt>
                <c:pt idx="72">
                  <c:v>106.32588901645347</c:v>
                </c:pt>
                <c:pt idx="73">
                  <c:v>107.36874571756663</c:v>
                </c:pt>
                <c:pt idx="74">
                  <c:v>108.41180297605761</c:v>
                </c:pt>
                <c:pt idx="75">
                  <c:v>109.45506124689859</c:v>
                </c:pt>
                <c:pt idx="76">
                  <c:v>110.4985209861465</c:v>
                </c:pt>
                <c:pt idx="77">
                  <c:v>111.542182650947</c:v>
                </c:pt>
                <c:pt idx="78">
                  <c:v>112.58604669953817</c:v>
                </c:pt>
                <c:pt idx="79">
                  <c:v>113.63011359125466</c:v>
                </c:pt>
                <c:pt idx="80">
                  <c:v>114.67438378653124</c:v>
                </c:pt>
                <c:pt idx="81">
                  <c:v>115.71885774690691</c:v>
                </c:pt>
                <c:pt idx="82">
                  <c:v>116.7635359350288</c:v>
                </c:pt>
                <c:pt idx="83">
                  <c:v>117.80841881465606</c:v>
                </c:pt>
                <c:pt idx="84">
                  <c:v>118.85350685066381</c:v>
                </c:pt>
                <c:pt idx="85">
                  <c:v>119.89880050904699</c:v>
                </c:pt>
                <c:pt idx="86">
                  <c:v>120.94430025692469</c:v>
                </c:pt>
                <c:pt idx="87">
                  <c:v>121.99000656254367</c:v>
                </c:pt>
                <c:pt idx="88">
                  <c:v>123.0359198952827</c:v>
                </c:pt>
                <c:pt idx="89">
                  <c:v>124.08204072565646</c:v>
                </c:pt>
                <c:pt idx="90">
                  <c:v>125.12836952531963</c:v>
                </c:pt>
                <c:pt idx="91">
                  <c:v>126.17490676707081</c:v>
                </c:pt>
                <c:pt idx="92">
                  <c:v>127.22165292485681</c:v>
                </c:pt>
                <c:pt idx="93">
                  <c:v>128.26860847377648</c:v>
                </c:pt>
                <c:pt idx="94">
                  <c:v>129.3157738900851</c:v>
                </c:pt>
                <c:pt idx="95">
                  <c:v>130.3631496511982</c:v>
                </c:pt>
                <c:pt idx="96">
                  <c:v>131.41073623569582</c:v>
                </c:pt>
                <c:pt idx="97">
                  <c:v>132.45853412332679</c:v>
                </c:pt>
                <c:pt idx="98">
                  <c:v>133.50654379501265</c:v>
                </c:pt>
                <c:pt idx="99">
                  <c:v>134.55476573285202</c:v>
                </c:pt>
                <c:pt idx="100">
                  <c:v>135.60320042012467</c:v>
                </c:pt>
              </c:numCache>
            </c:numRef>
          </c:yVal>
          <c:smooth val="0"/>
          <c:extLst>
            <c:ext xmlns:c16="http://schemas.microsoft.com/office/drawing/2014/chart" uri="{C3380CC4-5D6E-409C-BE32-E72D297353CC}">
              <c16:uniqueId val="{00000000-EFF6-4CEF-8042-54EBF9C08737}"/>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Calculations'!$AX$9:$AX$109</c:f>
              <c:numCache>
                <c:formatCode>0.0</c:formatCode>
                <c:ptCount val="101"/>
                <c:pt idx="0">
                  <c:v>0.78701515317399562</c:v>
                </c:pt>
                <c:pt idx="1">
                  <c:v>1.1503780025017838</c:v>
                </c:pt>
                <c:pt idx="2">
                  <c:v>1.5139979727283024</c:v>
                </c:pt>
                <c:pt idx="3">
                  <c:v>1.8778751341481568</c:v>
                </c:pt>
                <c:pt idx="4">
                  <c:v>2.2420095586247459</c:v>
                </c:pt>
                <c:pt idx="5">
                  <c:v>2.6064013195907223</c:v>
                </c:pt>
                <c:pt idx="6">
                  <c:v>2.9710504920484846</c:v>
                </c:pt>
                <c:pt idx="7">
                  <c:v>3.3359571525706841</c:v>
                </c:pt>
                <c:pt idx="8">
                  <c:v>3.7011213793007607</c:v>
                </c:pt>
                <c:pt idx="9">
                  <c:v>4.0665432519535027</c:v>
                </c:pt>
                <c:pt idx="10">
                  <c:v>4.4322228518156308</c:v>
                </c:pt>
                <c:pt idx="11">
                  <c:v>4.7981602617464025</c:v>
                </c:pt>
                <c:pt idx="12">
                  <c:v>5.1643555661782443</c:v>
                </c:pt>
                <c:pt idx="13">
                  <c:v>5.5308088511174107</c:v>
                </c:pt>
                <c:pt idx="14">
                  <c:v>5.8975202041446506</c:v>
                </c:pt>
                <c:pt idx="15">
                  <c:v>6.2644897144159311</c:v>
                </c:pt>
                <c:pt idx="16">
                  <c:v>6.631717472663146</c:v>
                </c:pt>
                <c:pt idx="17">
                  <c:v>6.999203571194875</c:v>
                </c:pt>
                <c:pt idx="18">
                  <c:v>7.36694810389716</c:v>
                </c:pt>
                <c:pt idx="19">
                  <c:v>7.7349511662343051</c:v>
                </c:pt>
                <c:pt idx="20">
                  <c:v>8.1032128552496943</c:v>
                </c:pt>
                <c:pt idx="21">
                  <c:v>8.4717332695666414</c:v>
                </c:pt>
                <c:pt idx="22">
                  <c:v>8.8405125093892725</c:v>
                </c:pt>
                <c:pt idx="23">
                  <c:v>9.2095506765034045</c:v>
                </c:pt>
                <c:pt idx="24">
                  <c:v>9.5788478742774767</c:v>
                </c:pt>
                <c:pt idx="25">
                  <c:v>9.965504542219719</c:v>
                </c:pt>
                <c:pt idx="26">
                  <c:v>10.366483226328921</c:v>
                </c:pt>
                <c:pt idx="27">
                  <c:v>10.76772298258464</c:v>
                </c:pt>
                <c:pt idx="28">
                  <c:v>11.16922401641661</c:v>
                </c:pt>
                <c:pt idx="29">
                  <c:v>11.570986534849615</c:v>
                </c:pt>
                <c:pt idx="30">
                  <c:v>11.973010746505565</c:v>
                </c:pt>
                <c:pt idx="31">
                  <c:v>12.37529686160555</c:v>
                </c:pt>
                <c:pt idx="32">
                  <c:v>12.777845091971923</c:v>
                </c:pt>
                <c:pt idx="33">
                  <c:v>13.180655651030436</c:v>
                </c:pt>
                <c:pt idx="34">
                  <c:v>13.583728753812382</c:v>
                </c:pt>
                <c:pt idx="35">
                  <c:v>13.987064616956737</c:v>
                </c:pt>
                <c:pt idx="36">
                  <c:v>14.390663458712385</c:v>
                </c:pt>
                <c:pt idx="37">
                  <c:v>14.79452549894031</c:v>
                </c:pt>
                <c:pt idx="38">
                  <c:v>15.198650959115838</c:v>
                </c:pt>
                <c:pt idx="39">
                  <c:v>15.603040062330921</c:v>
                </c:pt>
                <c:pt idx="40">
                  <c:v>16.007693033296402</c:v>
                </c:pt>
                <c:pt idx="41">
                  <c:v>16.412610098344345</c:v>
                </c:pt>
                <c:pt idx="42">
                  <c:v>16.81779148543038</c:v>
                </c:pt>
                <c:pt idx="43">
                  <c:v>17.223237424136045</c:v>
                </c:pt>
                <c:pt idx="44">
                  <c:v>17.628948145671206</c:v>
                </c:pt>
                <c:pt idx="45">
                  <c:v>18.034923882876438</c:v>
                </c:pt>
                <c:pt idx="46">
                  <c:v>18.441164870225506</c:v>
                </c:pt>
                <c:pt idx="47">
                  <c:v>18.847671343827781</c:v>
                </c:pt>
                <c:pt idx="48">
                  <c:v>19.254443541430785</c:v>
                </c:pt>
                <c:pt idx="49">
                  <c:v>19.661481702422648</c:v>
                </c:pt>
                <c:pt idx="50">
                  <c:v>20.068786067834708</c:v>
                </c:pt>
                <c:pt idx="51">
                  <c:v>20.476356880344024</c:v>
                </c:pt>
                <c:pt idx="52">
                  <c:v>20.884194384276011</c:v>
                </c:pt>
                <c:pt idx="53">
                  <c:v>21.292298825607023</c:v>
                </c:pt>
                <c:pt idx="54">
                  <c:v>21.700670451967024</c:v>
                </c:pt>
                <c:pt idx="55">
                  <c:v>22.109309512642234</c:v>
                </c:pt>
                <c:pt idx="56">
                  <c:v>22.518216258577844</c:v>
                </c:pt>
                <c:pt idx="57">
                  <c:v>22.927390942380708</c:v>
                </c:pt>
                <c:pt idx="58">
                  <c:v>23.33683381832212</c:v>
                </c:pt>
                <c:pt idx="59">
                  <c:v>23.746545142340572</c:v>
                </c:pt>
                <c:pt idx="60">
                  <c:v>24.156525172044535</c:v>
                </c:pt>
                <c:pt idx="61">
                  <c:v>24.566774166715312</c:v>
                </c:pt>
                <c:pt idx="62">
                  <c:v>24.97729238730987</c:v>
                </c:pt>
                <c:pt idx="63">
                  <c:v>25.388080096463703</c:v>
                </c:pt>
                <c:pt idx="64">
                  <c:v>25.799137558493786</c:v>
                </c:pt>
                <c:pt idx="65">
                  <c:v>26.210465039401427</c:v>
                </c:pt>
                <c:pt idx="66">
                  <c:v>26.622062806875284</c:v>
                </c:pt>
                <c:pt idx="67">
                  <c:v>27.033931130294317</c:v>
                </c:pt>
                <c:pt idx="68">
                  <c:v>27.446070280730808</c:v>
                </c:pt>
                <c:pt idx="69">
                  <c:v>27.858480530953369</c:v>
                </c:pt>
                <c:pt idx="70">
                  <c:v>28.271162155430041</c:v>
                </c:pt>
                <c:pt idx="71">
                  <c:v>28.684115430331353</c:v>
                </c:pt>
                <c:pt idx="72">
                  <c:v>29.097340633533449</c:v>
                </c:pt>
                <c:pt idx="73">
                  <c:v>29.510838044621217</c:v>
                </c:pt>
                <c:pt idx="74">
                  <c:v>29.924607944891456</c:v>
                </c:pt>
                <c:pt idx="75">
                  <c:v>30.338650617356105</c:v>
                </c:pt>
                <c:pt idx="76">
                  <c:v>30.752966346745406</c:v>
                </c:pt>
                <c:pt idx="77">
                  <c:v>31.16755541951121</c:v>
                </c:pt>
                <c:pt idx="78">
                  <c:v>31.582418123830198</c:v>
                </c:pt>
                <c:pt idx="79">
                  <c:v>31.997554749607247</c:v>
                </c:pt>
                <c:pt idx="80">
                  <c:v>32.412965588478698</c:v>
                </c:pt>
                <c:pt idx="81">
                  <c:v>32.828650933815752</c:v>
                </c:pt>
                <c:pt idx="82">
                  <c:v>33.244611080727843</c:v>
                </c:pt>
                <c:pt idx="83">
                  <c:v>33.660846326066071</c:v>
                </c:pt>
                <c:pt idx="84">
                  <c:v>34.077356968426585</c:v>
                </c:pt>
                <c:pt idx="85">
                  <c:v>34.494143308154143</c:v>
                </c:pt>
                <c:pt idx="86">
                  <c:v>34.911205647345518</c:v>
                </c:pt>
                <c:pt idx="87">
                  <c:v>35.328544289853077</c:v>
                </c:pt>
                <c:pt idx="88">
                  <c:v>35.746159541288321</c:v>
                </c:pt>
                <c:pt idx="89">
                  <c:v>36.164051709025436</c:v>
                </c:pt>
                <c:pt idx="90">
                  <c:v>36.582221102204969</c:v>
                </c:pt>
                <c:pt idx="91">
                  <c:v>37.000668031737384</c:v>
                </c:pt>
                <c:pt idx="92">
                  <c:v>37.419392810306796</c:v>
                </c:pt>
                <c:pt idx="93">
                  <c:v>37.838395752374602</c:v>
                </c:pt>
                <c:pt idx="94">
                  <c:v>38.257677174183272</c:v>
                </c:pt>
                <c:pt idx="95">
                  <c:v>38.677237393760045</c:v>
                </c:pt>
                <c:pt idx="96">
                  <c:v>39.097076730920712</c:v>
                </c:pt>
                <c:pt idx="97">
                  <c:v>39.517195507273478</c:v>
                </c:pt>
                <c:pt idx="98">
                  <c:v>39.937594046222735</c:v>
                </c:pt>
                <c:pt idx="99">
                  <c:v>40.358272672972952</c:v>
                </c:pt>
                <c:pt idx="100">
                  <c:v>40.779231714532585</c:v>
                </c:pt>
              </c:numCache>
            </c:numRef>
          </c:yVal>
          <c:smooth val="0"/>
          <c:extLst>
            <c:ext xmlns:c16="http://schemas.microsoft.com/office/drawing/2014/chart" uri="{C3380CC4-5D6E-409C-BE32-E72D297353CC}">
              <c16:uniqueId val="{00000001-EFF6-4CEF-8042-54EBF9C08737}"/>
            </c:ext>
          </c:extLst>
        </c:ser>
        <c:dLbls>
          <c:showLegendKey val="0"/>
          <c:showVal val="0"/>
          <c:showCatName val="0"/>
          <c:showSerName val="0"/>
          <c:showPercent val="0"/>
          <c:showBubbleSize val="0"/>
        </c:dLbls>
        <c:axId val="196498944"/>
        <c:axId val="196500864"/>
      </c:scatterChart>
      <c:valAx>
        <c:axId val="1964989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500864"/>
        <c:crosses val="autoZero"/>
        <c:crossBetween val="midCat"/>
      </c:valAx>
      <c:valAx>
        <c:axId val="19650086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4989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High-side MOSFET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Calculations'!$AI$8</c:f>
              <c:strCache>
                <c:ptCount val="1"/>
                <c:pt idx="0">
                  <c:v>RDS(on)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Calculations'!$AC$9:$AC$109</c:f>
              <c:numCache>
                <c:formatCode>0.000</c:formatCode>
                <c:ptCount val="101"/>
                <c:pt idx="0">
                  <c:v>2.9808770103822687E-4</c:v>
                </c:pt>
                <c:pt idx="1">
                  <c:v>2.9976039872031798E-4</c:v>
                </c:pt>
                <c:pt idx="2">
                  <c:v>3.0445209668147221E-4</c:v>
                </c:pt>
                <c:pt idx="3">
                  <c:v>3.1216460272187672E-4</c:v>
                </c:pt>
                <c:pt idx="4">
                  <c:v>3.2289972455219176E-4</c:v>
                </c:pt>
                <c:pt idx="5">
                  <c:v>3.3665926979355501E-4</c:v>
                </c:pt>
                <c:pt idx="6">
                  <c:v>3.5344504597758738E-4</c:v>
                </c:pt>
                <c:pt idx="7">
                  <c:v>3.7325886054639956E-4</c:v>
                </c:pt>
                <c:pt idx="8">
                  <c:v>3.9610252085259501E-4</c:v>
                </c:pt>
                <c:pt idx="9">
                  <c:v>4.2197783415927874E-4</c:v>
                </c:pt>
                <c:pt idx="10">
                  <c:v>4.5088660764005986E-4</c:v>
                </c:pt>
                <c:pt idx="11">
                  <c:v>4.828306483790596E-4</c:v>
                </c:pt>
                <c:pt idx="12">
                  <c:v>5.1781176337091495E-4</c:v>
                </c:pt>
                <c:pt idx="13">
                  <c:v>5.5583175952078558E-4</c:v>
                </c:pt>
                <c:pt idx="14">
                  <c:v>5.9689244364435792E-4</c:v>
                </c:pt>
                <c:pt idx="15">
                  <c:v>6.4099562246785319E-4</c:v>
                </c:pt>
                <c:pt idx="16">
                  <c:v>6.8814310262802967E-4</c:v>
                </c:pt>
                <c:pt idx="17">
                  <c:v>7.3833669067218982E-4</c:v>
                </c:pt>
                <c:pt idx="18">
                  <c:v>7.9157819305818796E-4</c:v>
                </c:pt>
                <c:pt idx="19">
                  <c:v>8.4786941615443145E-4</c:v>
                </c:pt>
                <c:pt idx="20">
                  <c:v>9.0721216623988971E-4</c:v>
                </c:pt>
                <c:pt idx="21">
                  <c:v>9.696082495040981E-4</c:v>
                </c:pt>
                <c:pt idx="22">
                  <c:v>1.0350594720471642E-3</c:v>
                </c:pt>
                <c:pt idx="23">
                  <c:v>1.1035676398797722E-3</c:v>
                </c:pt>
                <c:pt idx="24">
                  <c:v>1.1751345589231911E-3</c:v>
                </c:pt>
                <c:pt idx="25">
                  <c:v>1.2497620350092765E-3</c:v>
                </c:pt>
                <c:pt idx="26">
                  <c:v>1.3274518738804787E-3</c:v>
                </c:pt>
                <c:pt idx="27">
                  <c:v>1.4082058811898486E-3</c:v>
                </c:pt>
                <c:pt idx="28">
                  <c:v>1.4920258625010408E-3</c:v>
                </c:pt>
                <c:pt idx="29">
                  <c:v>1.5789136232883208E-3</c:v>
                </c:pt>
                <c:pt idx="30">
                  <c:v>1.6688709689365712E-3</c:v>
                </c:pt>
                <c:pt idx="31">
                  <c:v>1.7618997047412963E-3</c:v>
                </c:pt>
                <c:pt idx="32">
                  <c:v>1.8580016359086252E-3</c:v>
                </c:pt>
                <c:pt idx="33">
                  <c:v>1.957178567555323E-3</c:v>
                </c:pt>
                <c:pt idx="34">
                  <c:v>2.0594323047087937E-3</c:v>
                </c:pt>
                <c:pt idx="35">
                  <c:v>2.164764652307079E-3</c:v>
                </c:pt>
                <c:pt idx="36">
                  <c:v>2.2731774151988778E-3</c:v>
                </c:pt>
                <c:pt idx="37">
                  <c:v>2.384672398143539E-3</c:v>
                </c:pt>
                <c:pt idx="38">
                  <c:v>2.4992514058110745E-3</c:v>
                </c:pt>
                <c:pt idx="39">
                  <c:v>2.6169162427821585E-3</c:v>
                </c:pt>
                <c:pt idx="40">
                  <c:v>2.7376687135481415E-3</c:v>
                </c:pt>
                <c:pt idx="41">
                  <c:v>2.8615106225110465E-3</c:v>
                </c:pt>
                <c:pt idx="42">
                  <c:v>2.9884437739835837E-3</c:v>
                </c:pt>
                <c:pt idx="43">
                  <c:v>3.1184699721891465E-3</c:v>
                </c:pt>
                <c:pt idx="44">
                  <c:v>3.2515910212618268E-3</c:v>
                </c:pt>
                <c:pt idx="45">
                  <c:v>3.3878087252464115E-3</c:v>
                </c:pt>
                <c:pt idx="46">
                  <c:v>3.5271248880983947E-3</c:v>
                </c:pt>
                <c:pt idx="47">
                  <c:v>3.6695413136839769E-3</c:v>
                </c:pt>
                <c:pt idx="48">
                  <c:v>3.8150598057800807E-3</c:v>
                </c:pt>
                <c:pt idx="49">
                  <c:v>3.9636821680743457E-3</c:v>
                </c:pt>
                <c:pt idx="50">
                  <c:v>4.1154102041651387E-3</c:v>
                </c:pt>
                <c:pt idx="51">
                  <c:v>4.2702457175615577E-3</c:v>
                </c:pt>
                <c:pt idx="52">
                  <c:v>4.4281905116834424E-3</c:v>
                </c:pt>
                <c:pt idx="53">
                  <c:v>4.589246389861368E-3</c:v>
                </c:pt>
                <c:pt idx="54">
                  <c:v>4.7534151553366702E-3</c:v>
                </c:pt>
                <c:pt idx="55">
                  <c:v>4.920698611261428E-3</c:v>
                </c:pt>
                <c:pt idx="56">
                  <c:v>5.0910985606984873E-3</c:v>
                </c:pt>
                <c:pt idx="57">
                  <c:v>5.264616806621456E-3</c:v>
                </c:pt>
                <c:pt idx="58">
                  <c:v>5.4412551519147133E-3</c:v>
                </c:pt>
                <c:pt idx="59">
                  <c:v>5.6210153993734215E-3</c:v>
                </c:pt>
                <c:pt idx="60">
                  <c:v>5.8038993517035096E-3</c:v>
                </c:pt>
                <c:pt idx="61">
                  <c:v>5.9899088115217079E-3</c:v>
                </c:pt>
                <c:pt idx="62">
                  <c:v>6.179045581355536E-3</c:v>
                </c:pt>
                <c:pt idx="63">
                  <c:v>6.3713114636433079E-3</c:v>
                </c:pt>
                <c:pt idx="64">
                  <c:v>6.5667082607341514E-3</c:v>
                </c:pt>
                <c:pt idx="65">
                  <c:v>6.7652377748879892E-3</c:v>
                </c:pt>
                <c:pt idx="66">
                  <c:v>6.9669018082755742E-3</c:v>
                </c:pt>
                <c:pt idx="67">
                  <c:v>7.1717021629784652E-3</c:v>
                </c:pt>
                <c:pt idx="68">
                  <c:v>7.3796406409890663E-3</c:v>
                </c:pt>
                <c:pt idx="69">
                  <c:v>7.5907190442105902E-3</c:v>
                </c:pt>
                <c:pt idx="70">
                  <c:v>7.8049391744571045E-3</c:v>
                </c:pt>
                <c:pt idx="71">
                  <c:v>8.0223028334535096E-3</c:v>
                </c:pt>
                <c:pt idx="72">
                  <c:v>8.2428118228355662E-3</c:v>
                </c:pt>
                <c:pt idx="73">
                  <c:v>8.466467944149866E-3</c:v>
                </c:pt>
                <c:pt idx="74">
                  <c:v>8.6932729988538904E-3</c:v>
                </c:pt>
                <c:pt idx="75">
                  <c:v>8.9232287883159577E-3</c:v>
                </c:pt>
                <c:pt idx="76">
                  <c:v>9.1563371138152737E-3</c:v>
                </c:pt>
                <c:pt idx="77">
                  <c:v>9.3925997765419086E-3</c:v>
                </c:pt>
                <c:pt idx="78">
                  <c:v>9.6320185775968271E-3</c:v>
                </c:pt>
                <c:pt idx="79">
                  <c:v>9.8745953179918671E-3</c:v>
                </c:pt>
                <c:pt idx="80">
                  <c:v>1.0120331798649769E-2</c:v>
                </c:pt>
                <c:pt idx="81">
                  <c:v>1.0369229820404162E-2</c:v>
                </c:pt>
                <c:pt idx="82">
                  <c:v>1.0621291183999584E-2</c:v>
                </c:pt>
                <c:pt idx="83">
                  <c:v>1.0876517690091488E-2</c:v>
                </c:pt>
                <c:pt idx="84">
                  <c:v>1.1134911139246223E-2</c:v>
                </c:pt>
                <c:pt idx="85">
                  <c:v>1.139647333194108E-2</c:v>
                </c:pt>
                <c:pt idx="86">
                  <c:v>1.1661206068564255E-2</c:v>
                </c:pt>
                <c:pt idx="87">
                  <c:v>1.1929111149414895E-2</c:v>
                </c:pt>
                <c:pt idx="88">
                  <c:v>1.2200190374703065E-2</c:v>
                </c:pt>
                <c:pt idx="89">
                  <c:v>1.2474445544549783E-2</c:v>
                </c:pt>
                <c:pt idx="90">
                  <c:v>1.2751878458987009E-2</c:v>
                </c:pt>
                <c:pt idx="91">
                  <c:v>1.3032490917957657E-2</c:v>
                </c:pt>
                <c:pt idx="92">
                  <c:v>1.33162847213156E-2</c:v>
                </c:pt>
                <c:pt idx="93">
                  <c:v>1.3603261668825688E-2</c:v>
                </c:pt>
                <c:pt idx="94">
                  <c:v>1.3893423560163706E-2</c:v>
                </c:pt>
                <c:pt idx="95">
                  <c:v>1.418677219491645E-2</c:v>
                </c:pt>
                <c:pt idx="96">
                  <c:v>1.4483309372581675E-2</c:v>
                </c:pt>
                <c:pt idx="97">
                  <c:v>1.4783036892568133E-2</c:v>
                </c:pt>
                <c:pt idx="98">
                  <c:v>1.508595655419556E-2</c:v>
                </c:pt>
                <c:pt idx="99">
                  <c:v>1.5392070156694701E-2</c:v>
                </c:pt>
                <c:pt idx="100">
                  <c:v>1.5701379499207281E-2</c:v>
                </c:pt>
              </c:numCache>
            </c:numRef>
          </c:yVal>
          <c:smooth val="0"/>
          <c:extLst>
            <c:ext xmlns:c16="http://schemas.microsoft.com/office/drawing/2014/chart" uri="{C3380CC4-5D6E-409C-BE32-E72D297353CC}">
              <c16:uniqueId val="{00000000-707C-431D-A4F2-D6BD8D7D2451}"/>
            </c:ext>
          </c:extLst>
        </c:ser>
        <c:ser>
          <c:idx val="3"/>
          <c:order val="1"/>
          <c:tx>
            <c:strRef>
              <c:f>'Efficiency Calculations'!$AD$8</c:f>
              <c:strCache>
                <c:ptCount val="1"/>
                <c:pt idx="0">
                  <c:v>Transition Loss (not including capacitive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Calculations'!$AD$9:$AD$109</c:f>
              <c:numCache>
                <c:formatCode>0.000</c:formatCode>
                <c:ptCount val="101"/>
                <c:pt idx="0">
                  <c:v>0</c:v>
                </c:pt>
                <c:pt idx="1">
                  <c:v>3.1252540187931967E-3</c:v>
                </c:pt>
                <c:pt idx="2">
                  <c:v>6.2505080375863933E-3</c:v>
                </c:pt>
                <c:pt idx="3">
                  <c:v>9.3757620563795895E-3</c:v>
                </c:pt>
                <c:pt idx="4">
                  <c:v>1.2501016075172787E-2</c:v>
                </c:pt>
                <c:pt idx="5">
                  <c:v>1.5626270093965985E-2</c:v>
                </c:pt>
                <c:pt idx="6">
                  <c:v>1.8751524112759179E-2</c:v>
                </c:pt>
                <c:pt idx="7">
                  <c:v>2.187677813155238E-2</c:v>
                </c:pt>
                <c:pt idx="8">
                  <c:v>2.5002032150345573E-2</c:v>
                </c:pt>
                <c:pt idx="9">
                  <c:v>2.812728616913877E-2</c:v>
                </c:pt>
                <c:pt idx="10">
                  <c:v>3.1252540187931971E-2</c:v>
                </c:pt>
                <c:pt idx="11">
                  <c:v>3.4377794206725168E-2</c:v>
                </c:pt>
                <c:pt idx="12">
                  <c:v>3.7503048225518358E-2</c:v>
                </c:pt>
                <c:pt idx="13">
                  <c:v>4.0628302244311555E-2</c:v>
                </c:pt>
                <c:pt idx="14">
                  <c:v>4.3753556263104759E-2</c:v>
                </c:pt>
                <c:pt idx="15">
                  <c:v>4.6878810281897949E-2</c:v>
                </c:pt>
                <c:pt idx="16">
                  <c:v>5.0004064300691146E-2</c:v>
                </c:pt>
                <c:pt idx="17">
                  <c:v>5.312931831948435E-2</c:v>
                </c:pt>
                <c:pt idx="18">
                  <c:v>5.6254572338277541E-2</c:v>
                </c:pt>
                <c:pt idx="19">
                  <c:v>5.9379826357070738E-2</c:v>
                </c:pt>
                <c:pt idx="20">
                  <c:v>6.2505080375863942E-2</c:v>
                </c:pt>
                <c:pt idx="21">
                  <c:v>6.5630334394657139E-2</c:v>
                </c:pt>
                <c:pt idx="22">
                  <c:v>6.8755588413450336E-2</c:v>
                </c:pt>
                <c:pt idx="23">
                  <c:v>7.1880842432243519E-2</c:v>
                </c:pt>
                <c:pt idx="24">
                  <c:v>7.5006096451036716E-2</c:v>
                </c:pt>
                <c:pt idx="25">
                  <c:v>7.8131350469829913E-2</c:v>
                </c:pt>
                <c:pt idx="26">
                  <c:v>8.125660448862311E-2</c:v>
                </c:pt>
                <c:pt idx="27">
                  <c:v>8.4381858507416307E-2</c:v>
                </c:pt>
                <c:pt idx="28">
                  <c:v>8.7507112526209518E-2</c:v>
                </c:pt>
                <c:pt idx="29">
                  <c:v>9.0632366545002702E-2</c:v>
                </c:pt>
                <c:pt idx="30">
                  <c:v>9.3757620563795899E-2</c:v>
                </c:pt>
                <c:pt idx="31">
                  <c:v>9.6882874582589096E-2</c:v>
                </c:pt>
                <c:pt idx="32">
                  <c:v>0.10000812860138229</c:v>
                </c:pt>
                <c:pt idx="33">
                  <c:v>0.1031333826201755</c:v>
                </c:pt>
                <c:pt idx="34">
                  <c:v>0.1062586366389687</c:v>
                </c:pt>
                <c:pt idx="35">
                  <c:v>0.10938389065776188</c:v>
                </c:pt>
                <c:pt idx="36">
                  <c:v>0.11250914467655508</c:v>
                </c:pt>
                <c:pt idx="37">
                  <c:v>0.11563439869534828</c:v>
                </c:pt>
                <c:pt idx="38">
                  <c:v>0.11875965271414148</c:v>
                </c:pt>
                <c:pt idx="39">
                  <c:v>0.12188490673293467</c:v>
                </c:pt>
                <c:pt idx="40">
                  <c:v>0.12501016075172788</c:v>
                </c:pt>
                <c:pt idx="41">
                  <c:v>0.12813541477052107</c:v>
                </c:pt>
                <c:pt idx="42">
                  <c:v>0.13126066878931428</c:v>
                </c:pt>
                <c:pt idx="43">
                  <c:v>0.13438592280810746</c:v>
                </c:pt>
                <c:pt idx="44">
                  <c:v>0.13751117682690067</c:v>
                </c:pt>
                <c:pt idx="45">
                  <c:v>0.14063643084569388</c:v>
                </c:pt>
                <c:pt idx="46">
                  <c:v>0.14376168486448704</c:v>
                </c:pt>
                <c:pt idx="47">
                  <c:v>0.14688693888328025</c:v>
                </c:pt>
                <c:pt idx="48">
                  <c:v>0.15001219290207343</c:v>
                </c:pt>
                <c:pt idx="49">
                  <c:v>0.15313744692086664</c:v>
                </c:pt>
                <c:pt idx="50">
                  <c:v>0.15626270093965983</c:v>
                </c:pt>
                <c:pt idx="51">
                  <c:v>0.15938795495845304</c:v>
                </c:pt>
                <c:pt idx="52">
                  <c:v>0.16251320897724622</c:v>
                </c:pt>
                <c:pt idx="53">
                  <c:v>0.16563846299603943</c:v>
                </c:pt>
                <c:pt idx="54">
                  <c:v>0.16876371701483261</c:v>
                </c:pt>
                <c:pt idx="55">
                  <c:v>0.17188897103362583</c:v>
                </c:pt>
                <c:pt idx="56">
                  <c:v>0.17501422505241904</c:v>
                </c:pt>
                <c:pt idx="57">
                  <c:v>0.17813947907121219</c:v>
                </c:pt>
                <c:pt idx="58">
                  <c:v>0.1812647330900054</c:v>
                </c:pt>
                <c:pt idx="59">
                  <c:v>0.18438998710879859</c:v>
                </c:pt>
                <c:pt idx="60">
                  <c:v>0.1875152411275918</c:v>
                </c:pt>
                <c:pt idx="61">
                  <c:v>0.19064049514638501</c:v>
                </c:pt>
                <c:pt idx="62">
                  <c:v>0.19376574916517819</c:v>
                </c:pt>
                <c:pt idx="63">
                  <c:v>0.1968910031839714</c:v>
                </c:pt>
                <c:pt idx="64">
                  <c:v>0.20001625720276459</c:v>
                </c:pt>
                <c:pt idx="65">
                  <c:v>0.2031415112215578</c:v>
                </c:pt>
                <c:pt idx="66">
                  <c:v>0.20626676524035101</c:v>
                </c:pt>
                <c:pt idx="67">
                  <c:v>0.20939201925914419</c:v>
                </c:pt>
                <c:pt idx="68">
                  <c:v>0.2125172732779374</c:v>
                </c:pt>
                <c:pt idx="69">
                  <c:v>0.21564252729673056</c:v>
                </c:pt>
                <c:pt idx="70">
                  <c:v>0.21876778131552377</c:v>
                </c:pt>
                <c:pt idx="71">
                  <c:v>0.22189303533431698</c:v>
                </c:pt>
                <c:pt idx="72">
                  <c:v>0.22501828935311016</c:v>
                </c:pt>
                <c:pt idx="73">
                  <c:v>0.22814354337190337</c:v>
                </c:pt>
                <c:pt idx="74">
                  <c:v>0.23126879739069656</c:v>
                </c:pt>
                <c:pt idx="75">
                  <c:v>0.23439405140948977</c:v>
                </c:pt>
                <c:pt idx="76">
                  <c:v>0.23751930542828295</c:v>
                </c:pt>
                <c:pt idx="77">
                  <c:v>0.24064455944707616</c:v>
                </c:pt>
                <c:pt idx="78">
                  <c:v>0.24376981346586934</c:v>
                </c:pt>
                <c:pt idx="79">
                  <c:v>0.24689506748466256</c:v>
                </c:pt>
                <c:pt idx="80">
                  <c:v>0.25002032150345577</c:v>
                </c:pt>
                <c:pt idx="81">
                  <c:v>0.25314557552224892</c:v>
                </c:pt>
                <c:pt idx="82">
                  <c:v>0.25627082954104213</c:v>
                </c:pt>
                <c:pt idx="83">
                  <c:v>0.25939608355983534</c:v>
                </c:pt>
                <c:pt idx="84">
                  <c:v>0.26252133757862856</c:v>
                </c:pt>
                <c:pt idx="85">
                  <c:v>0.26564659159742166</c:v>
                </c:pt>
                <c:pt idx="86">
                  <c:v>0.26877184561621492</c:v>
                </c:pt>
                <c:pt idx="87">
                  <c:v>0.27189709963500813</c:v>
                </c:pt>
                <c:pt idx="88">
                  <c:v>0.27502235365380134</c:v>
                </c:pt>
                <c:pt idx="89">
                  <c:v>0.2781476076725945</c:v>
                </c:pt>
                <c:pt idx="90">
                  <c:v>0.28127286169138777</c:v>
                </c:pt>
                <c:pt idx="91">
                  <c:v>0.28439811571018092</c:v>
                </c:pt>
                <c:pt idx="92">
                  <c:v>0.28752336972897408</c:v>
                </c:pt>
                <c:pt idx="93">
                  <c:v>0.29064862374776729</c:v>
                </c:pt>
                <c:pt idx="94">
                  <c:v>0.2937738777665605</c:v>
                </c:pt>
                <c:pt idx="95">
                  <c:v>0.29689913178535371</c:v>
                </c:pt>
                <c:pt idx="96">
                  <c:v>0.30002438580414686</c:v>
                </c:pt>
                <c:pt idx="97">
                  <c:v>0.30314963982294008</c:v>
                </c:pt>
                <c:pt idx="98">
                  <c:v>0.30627489384173329</c:v>
                </c:pt>
                <c:pt idx="99">
                  <c:v>0.3094001478605265</c:v>
                </c:pt>
                <c:pt idx="100">
                  <c:v>0.31252540187931965</c:v>
                </c:pt>
              </c:numCache>
            </c:numRef>
          </c:yVal>
          <c:smooth val="0"/>
          <c:extLst>
            <c:ext xmlns:c16="http://schemas.microsoft.com/office/drawing/2014/chart" uri="{C3380CC4-5D6E-409C-BE32-E72D297353CC}">
              <c16:uniqueId val="{00000001-707C-431D-A4F2-D6BD8D7D2451}"/>
            </c:ext>
          </c:extLst>
        </c:ser>
        <c:ser>
          <c:idx val="0"/>
          <c:order val="2"/>
          <c:tx>
            <c:strRef>
              <c:f>'Efficiency Calculations'!$AE$8</c:f>
              <c:strCache>
                <c:ptCount val="1"/>
                <c:pt idx="0">
                  <c:v>MOSFET Output Capacitance Loss</c:v>
                </c:pt>
              </c:strCache>
            </c:strRef>
          </c:tx>
          <c:spPr>
            <a:ln w="31750">
              <a:solidFill>
                <a:srgbClr val="FF6600"/>
              </a:solidFill>
              <a:prstDash val="lgDash"/>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Calculations'!$AE$9:$AE$109</c:f>
              <c:numCache>
                <c:formatCode>0.000</c:formatCode>
                <c:ptCount val="101"/>
                <c:pt idx="0">
                  <c:v>0.49881630305005498</c:v>
                </c:pt>
                <c:pt idx="1">
                  <c:v>0.5107122667051005</c:v>
                </c:pt>
                <c:pt idx="2">
                  <c:v>0.52206676462807222</c:v>
                </c:pt>
                <c:pt idx="3">
                  <c:v>0.53287979622796822</c:v>
                </c:pt>
                <c:pt idx="4">
                  <c:v>0.54315136091381611</c:v>
                </c:pt>
                <c:pt idx="5">
                  <c:v>0.5528814580946716</c:v>
                </c:pt>
                <c:pt idx="6">
                  <c:v>0.56207008717962037</c:v>
                </c:pt>
                <c:pt idx="7">
                  <c:v>0.57071724757777686</c:v>
                </c:pt>
                <c:pt idx="8">
                  <c:v>0.57882293869828449</c:v>
                </c:pt>
                <c:pt idx="9">
                  <c:v>0.58638715995031554</c:v>
                </c:pt>
                <c:pt idx="10">
                  <c:v>0.5934099107430717</c:v>
                </c:pt>
                <c:pt idx="11">
                  <c:v>0.59989119048578321</c:v>
                </c:pt>
                <c:pt idx="12">
                  <c:v>0.60583099858771017</c:v>
                </c:pt>
                <c:pt idx="13">
                  <c:v>0.61122933445814087</c:v>
                </c:pt>
                <c:pt idx="14">
                  <c:v>0.61608619750639315</c:v>
                </c:pt>
                <c:pt idx="15">
                  <c:v>0.62040158714181348</c:v>
                </c:pt>
                <c:pt idx="16">
                  <c:v>0.62417550277377776</c:v>
                </c:pt>
                <c:pt idx="17">
                  <c:v>0.62740794381169063</c:v>
                </c:pt>
                <c:pt idx="18">
                  <c:v>0.63009890966498594</c:v>
                </c:pt>
                <c:pt idx="19">
                  <c:v>0.63224839974312641</c:v>
                </c:pt>
                <c:pt idx="20">
                  <c:v>0.63385641345560428</c:v>
                </c:pt>
                <c:pt idx="21">
                  <c:v>0.63492295021194001</c:v>
                </c:pt>
                <c:pt idx="22">
                  <c:v>0.63544800942168311</c:v>
                </c:pt>
                <c:pt idx="23">
                  <c:v>0.63543159049441322</c:v>
                </c:pt>
                <c:pt idx="24">
                  <c:v>0.63487369283973816</c:v>
                </c:pt>
                <c:pt idx="25">
                  <c:v>0.63444464999999983</c:v>
                </c:pt>
                <c:pt idx="26">
                  <c:v>0.63444464999999983</c:v>
                </c:pt>
                <c:pt idx="27">
                  <c:v>0.63444464999999983</c:v>
                </c:pt>
                <c:pt idx="28">
                  <c:v>0.63444464999999983</c:v>
                </c:pt>
                <c:pt idx="29">
                  <c:v>0.63444464999999983</c:v>
                </c:pt>
                <c:pt idx="30">
                  <c:v>0.63444464999999983</c:v>
                </c:pt>
                <c:pt idx="31">
                  <c:v>0.63444464999999983</c:v>
                </c:pt>
                <c:pt idx="32">
                  <c:v>0.63444464999999983</c:v>
                </c:pt>
                <c:pt idx="33">
                  <c:v>0.63444464999999983</c:v>
                </c:pt>
                <c:pt idx="34">
                  <c:v>0.63444464999999983</c:v>
                </c:pt>
                <c:pt idx="35">
                  <c:v>0.63444464999999983</c:v>
                </c:pt>
                <c:pt idx="36">
                  <c:v>0.63444464999999983</c:v>
                </c:pt>
                <c:pt idx="37">
                  <c:v>0.63444464999999983</c:v>
                </c:pt>
                <c:pt idx="38">
                  <c:v>0.63444464999999983</c:v>
                </c:pt>
                <c:pt idx="39">
                  <c:v>0.63444464999999983</c:v>
                </c:pt>
                <c:pt idx="40">
                  <c:v>0.63444464999999983</c:v>
                </c:pt>
                <c:pt idx="41">
                  <c:v>0.63444464999999983</c:v>
                </c:pt>
                <c:pt idx="42">
                  <c:v>0.63444464999999983</c:v>
                </c:pt>
                <c:pt idx="43">
                  <c:v>0.63444464999999983</c:v>
                </c:pt>
                <c:pt idx="44">
                  <c:v>0.63444464999999983</c:v>
                </c:pt>
                <c:pt idx="45">
                  <c:v>0.63444464999999983</c:v>
                </c:pt>
                <c:pt idx="46">
                  <c:v>0.63444464999999983</c:v>
                </c:pt>
                <c:pt idx="47">
                  <c:v>0.63444464999999983</c:v>
                </c:pt>
                <c:pt idx="48">
                  <c:v>0.63444464999999983</c:v>
                </c:pt>
                <c:pt idx="49">
                  <c:v>0.63444464999999983</c:v>
                </c:pt>
                <c:pt idx="50">
                  <c:v>0.63444464999999983</c:v>
                </c:pt>
                <c:pt idx="51">
                  <c:v>0.63444464999999983</c:v>
                </c:pt>
                <c:pt idx="52">
                  <c:v>0.63444464999999983</c:v>
                </c:pt>
                <c:pt idx="53">
                  <c:v>0.63444464999999983</c:v>
                </c:pt>
                <c:pt idx="54">
                  <c:v>0.63444464999999983</c:v>
                </c:pt>
                <c:pt idx="55">
                  <c:v>0.63444464999999983</c:v>
                </c:pt>
                <c:pt idx="56">
                  <c:v>0.63444464999999983</c:v>
                </c:pt>
                <c:pt idx="57">
                  <c:v>0.63444464999999983</c:v>
                </c:pt>
                <c:pt idx="58">
                  <c:v>0.63444464999999983</c:v>
                </c:pt>
                <c:pt idx="59">
                  <c:v>0.63444464999999983</c:v>
                </c:pt>
                <c:pt idx="60">
                  <c:v>0.63444464999999983</c:v>
                </c:pt>
                <c:pt idx="61">
                  <c:v>0.63444464999999983</c:v>
                </c:pt>
                <c:pt idx="62">
                  <c:v>0.63444464999999983</c:v>
                </c:pt>
                <c:pt idx="63">
                  <c:v>0.63444464999999983</c:v>
                </c:pt>
                <c:pt idx="64">
                  <c:v>0.63444464999999983</c:v>
                </c:pt>
                <c:pt idx="65">
                  <c:v>0.63444464999999983</c:v>
                </c:pt>
                <c:pt idx="66">
                  <c:v>0.63444464999999983</c:v>
                </c:pt>
                <c:pt idx="67">
                  <c:v>0.63444464999999983</c:v>
                </c:pt>
                <c:pt idx="68">
                  <c:v>0.63444464999999983</c:v>
                </c:pt>
                <c:pt idx="69">
                  <c:v>0.63444464999999983</c:v>
                </c:pt>
                <c:pt idx="70">
                  <c:v>0.63444464999999983</c:v>
                </c:pt>
                <c:pt idx="71">
                  <c:v>0.63444464999999983</c:v>
                </c:pt>
                <c:pt idx="72">
                  <c:v>0.63444464999999983</c:v>
                </c:pt>
                <c:pt idx="73">
                  <c:v>0.63444464999999983</c:v>
                </c:pt>
                <c:pt idx="74">
                  <c:v>0.63444464999999983</c:v>
                </c:pt>
                <c:pt idx="75">
                  <c:v>0.63444464999999983</c:v>
                </c:pt>
                <c:pt idx="76">
                  <c:v>0.63444464999999983</c:v>
                </c:pt>
                <c:pt idx="77">
                  <c:v>0.63444464999999983</c:v>
                </c:pt>
                <c:pt idx="78">
                  <c:v>0.63444464999999983</c:v>
                </c:pt>
                <c:pt idx="79">
                  <c:v>0.63444464999999983</c:v>
                </c:pt>
                <c:pt idx="80">
                  <c:v>0.63444464999999983</c:v>
                </c:pt>
                <c:pt idx="81">
                  <c:v>0.63444464999999983</c:v>
                </c:pt>
                <c:pt idx="82">
                  <c:v>0.63444464999999983</c:v>
                </c:pt>
                <c:pt idx="83">
                  <c:v>0.63444464999999983</c:v>
                </c:pt>
                <c:pt idx="84">
                  <c:v>0.63444464999999983</c:v>
                </c:pt>
                <c:pt idx="85">
                  <c:v>0.63444464999999983</c:v>
                </c:pt>
                <c:pt idx="86">
                  <c:v>0.63444464999999983</c:v>
                </c:pt>
                <c:pt idx="87">
                  <c:v>0.63444464999999983</c:v>
                </c:pt>
                <c:pt idx="88">
                  <c:v>0.63444464999999983</c:v>
                </c:pt>
                <c:pt idx="89">
                  <c:v>0.63444464999999983</c:v>
                </c:pt>
                <c:pt idx="90">
                  <c:v>0.63444464999999983</c:v>
                </c:pt>
                <c:pt idx="91">
                  <c:v>0.63444464999999983</c:v>
                </c:pt>
                <c:pt idx="92">
                  <c:v>0.63444464999999983</c:v>
                </c:pt>
                <c:pt idx="93">
                  <c:v>0.63444464999999983</c:v>
                </c:pt>
                <c:pt idx="94">
                  <c:v>0.63444464999999983</c:v>
                </c:pt>
                <c:pt idx="95">
                  <c:v>0.63444464999999983</c:v>
                </c:pt>
                <c:pt idx="96">
                  <c:v>0.63444464999999983</c:v>
                </c:pt>
                <c:pt idx="97">
                  <c:v>0.63444464999999983</c:v>
                </c:pt>
                <c:pt idx="98">
                  <c:v>0.63444464999999983</c:v>
                </c:pt>
                <c:pt idx="99">
                  <c:v>0.63444464999999983</c:v>
                </c:pt>
                <c:pt idx="100">
                  <c:v>0.63444464999999983</c:v>
                </c:pt>
              </c:numCache>
            </c:numRef>
          </c:yVal>
          <c:smooth val="0"/>
          <c:extLst>
            <c:ext xmlns:c16="http://schemas.microsoft.com/office/drawing/2014/chart" uri="{C3380CC4-5D6E-409C-BE32-E72D297353CC}">
              <c16:uniqueId val="{00000002-707C-431D-A4F2-D6BD8D7D2451}"/>
            </c:ext>
          </c:extLst>
        </c:ser>
        <c:ser>
          <c:idx val="1"/>
          <c:order val="3"/>
          <c:tx>
            <c:strRef>
              <c:f>'Efficiency Calculations'!$AM$8</c:f>
              <c:strCache>
                <c:ptCount val="1"/>
                <c:pt idx="0">
                  <c:v>Reverse Recovery Loss</c:v>
                </c:pt>
              </c:strCache>
            </c:strRef>
          </c:tx>
          <c:spPr>
            <a:ln>
              <a:solidFill>
                <a:srgbClr val="00B050"/>
              </a:solidFill>
              <a:prstDash val="sysDot"/>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Calculations'!$AM$9:$AM$109</c:f>
              <c:numCache>
                <c:formatCode>0.000</c:formatCode>
                <c:ptCount val="101"/>
                <c:pt idx="0">
                  <c:v>0</c:v>
                </c:pt>
                <c:pt idx="1">
                  <c:v>2.6460000000000001E-2</c:v>
                </c:pt>
                <c:pt idx="2">
                  <c:v>5.2920000000000002E-2</c:v>
                </c:pt>
                <c:pt idx="3">
                  <c:v>7.9379999999999992E-2</c:v>
                </c:pt>
                <c:pt idx="4">
                  <c:v>0.10584</c:v>
                </c:pt>
                <c:pt idx="5">
                  <c:v>0.1323</c:v>
                </c:pt>
                <c:pt idx="6">
                  <c:v>0.15875999999999998</c:v>
                </c:pt>
                <c:pt idx="7">
                  <c:v>0.18522000000000002</c:v>
                </c:pt>
                <c:pt idx="8">
                  <c:v>0.21168000000000001</c:v>
                </c:pt>
                <c:pt idx="9">
                  <c:v>0.23813999999999999</c:v>
                </c:pt>
                <c:pt idx="10">
                  <c:v>0.2646</c:v>
                </c:pt>
                <c:pt idx="11">
                  <c:v>0.29105999999999999</c:v>
                </c:pt>
                <c:pt idx="12">
                  <c:v>0.31751999999999997</c:v>
                </c:pt>
                <c:pt idx="13">
                  <c:v>0.34398000000000006</c:v>
                </c:pt>
                <c:pt idx="14">
                  <c:v>0.37044000000000005</c:v>
                </c:pt>
                <c:pt idx="15">
                  <c:v>0.39690000000000003</c:v>
                </c:pt>
                <c:pt idx="16">
                  <c:v>0.42336000000000001</c:v>
                </c:pt>
                <c:pt idx="17">
                  <c:v>0.44982000000000005</c:v>
                </c:pt>
                <c:pt idx="18">
                  <c:v>0.47627999999999998</c:v>
                </c:pt>
                <c:pt idx="19">
                  <c:v>0.50273999999999996</c:v>
                </c:pt>
                <c:pt idx="20">
                  <c:v>0.5292</c:v>
                </c:pt>
                <c:pt idx="21">
                  <c:v>0.55565999999999993</c:v>
                </c:pt>
                <c:pt idx="22">
                  <c:v>0.58211999999999997</c:v>
                </c:pt>
                <c:pt idx="23">
                  <c:v>0.60858000000000001</c:v>
                </c:pt>
                <c:pt idx="24">
                  <c:v>0.63503999999999994</c:v>
                </c:pt>
                <c:pt idx="25">
                  <c:v>0.66149999999999998</c:v>
                </c:pt>
                <c:pt idx="26">
                  <c:v>0.68796000000000013</c:v>
                </c:pt>
                <c:pt idx="27">
                  <c:v>0.71442000000000005</c:v>
                </c:pt>
                <c:pt idx="28">
                  <c:v>0.74088000000000009</c:v>
                </c:pt>
                <c:pt idx="29">
                  <c:v>0.76733999999999991</c:v>
                </c:pt>
                <c:pt idx="30">
                  <c:v>0.79380000000000006</c:v>
                </c:pt>
                <c:pt idx="31">
                  <c:v>0.82025999999999999</c:v>
                </c:pt>
                <c:pt idx="32">
                  <c:v>0.84672000000000003</c:v>
                </c:pt>
                <c:pt idx="33">
                  <c:v>0.87317999999999996</c:v>
                </c:pt>
                <c:pt idx="34">
                  <c:v>0.89964000000000011</c:v>
                </c:pt>
                <c:pt idx="35">
                  <c:v>0.92609999999999981</c:v>
                </c:pt>
                <c:pt idx="36">
                  <c:v>0.95255999999999996</c:v>
                </c:pt>
                <c:pt idx="37">
                  <c:v>0.97901999999999989</c:v>
                </c:pt>
                <c:pt idx="38">
                  <c:v>1.0054799999999999</c:v>
                </c:pt>
                <c:pt idx="39">
                  <c:v>1.0319399999999999</c:v>
                </c:pt>
                <c:pt idx="40">
                  <c:v>1.0584</c:v>
                </c:pt>
                <c:pt idx="41">
                  <c:v>1.0848599999999997</c:v>
                </c:pt>
                <c:pt idx="42">
                  <c:v>1.1113199999999999</c:v>
                </c:pt>
                <c:pt idx="43">
                  <c:v>1.1377799999999998</c:v>
                </c:pt>
                <c:pt idx="44">
                  <c:v>1.1642399999999999</c:v>
                </c:pt>
                <c:pt idx="45">
                  <c:v>1.1906999999999999</c:v>
                </c:pt>
                <c:pt idx="46">
                  <c:v>1.21716</c:v>
                </c:pt>
                <c:pt idx="47">
                  <c:v>1.2436199999999997</c:v>
                </c:pt>
                <c:pt idx="48">
                  <c:v>1.2700799999999999</c:v>
                </c:pt>
                <c:pt idx="49">
                  <c:v>1.2965399999999998</c:v>
                </c:pt>
                <c:pt idx="50">
                  <c:v>1.323</c:v>
                </c:pt>
                <c:pt idx="51">
                  <c:v>1.3494599999999999</c:v>
                </c:pt>
                <c:pt idx="52">
                  <c:v>1.3759200000000003</c:v>
                </c:pt>
                <c:pt idx="53">
                  <c:v>1.4023800000000002</c:v>
                </c:pt>
                <c:pt idx="54">
                  <c:v>1.4288400000000001</c:v>
                </c:pt>
                <c:pt idx="55">
                  <c:v>1.4553</c:v>
                </c:pt>
                <c:pt idx="56">
                  <c:v>1.4817600000000002</c:v>
                </c:pt>
                <c:pt idx="57">
                  <c:v>1.5082199999999999</c:v>
                </c:pt>
                <c:pt idx="58">
                  <c:v>1.5346799999999998</c:v>
                </c:pt>
                <c:pt idx="59">
                  <c:v>1.5611399999999998</c:v>
                </c:pt>
                <c:pt idx="60">
                  <c:v>1.5876000000000001</c:v>
                </c:pt>
                <c:pt idx="61">
                  <c:v>1.6140600000000001</c:v>
                </c:pt>
                <c:pt idx="62">
                  <c:v>1.64052</c:v>
                </c:pt>
                <c:pt idx="63">
                  <c:v>1.6669799999999999</c:v>
                </c:pt>
                <c:pt idx="64">
                  <c:v>1.6934400000000001</c:v>
                </c:pt>
                <c:pt idx="65">
                  <c:v>1.7199</c:v>
                </c:pt>
                <c:pt idx="66">
                  <c:v>1.7463599999999999</c:v>
                </c:pt>
                <c:pt idx="67">
                  <c:v>1.7728199999999998</c:v>
                </c:pt>
                <c:pt idx="68">
                  <c:v>1.7992800000000002</c:v>
                </c:pt>
                <c:pt idx="69">
                  <c:v>1.8257399999999997</c:v>
                </c:pt>
                <c:pt idx="70">
                  <c:v>1.8521999999999996</c:v>
                </c:pt>
                <c:pt idx="71">
                  <c:v>1.8786599999999996</c:v>
                </c:pt>
                <c:pt idx="72">
                  <c:v>1.9051199999999999</c:v>
                </c:pt>
                <c:pt idx="73">
                  <c:v>1.9315799999999999</c:v>
                </c:pt>
                <c:pt idx="74">
                  <c:v>1.9580399999999998</c:v>
                </c:pt>
                <c:pt idx="75">
                  <c:v>1.9844999999999997</c:v>
                </c:pt>
                <c:pt idx="76">
                  <c:v>2.0109599999999999</c:v>
                </c:pt>
                <c:pt idx="77">
                  <c:v>2.03742</c:v>
                </c:pt>
                <c:pt idx="78">
                  <c:v>2.0638799999999997</c:v>
                </c:pt>
                <c:pt idx="79">
                  <c:v>2.0903399999999999</c:v>
                </c:pt>
                <c:pt idx="80">
                  <c:v>2.1168</c:v>
                </c:pt>
                <c:pt idx="81">
                  <c:v>2.1432600000000002</c:v>
                </c:pt>
                <c:pt idx="82">
                  <c:v>2.1697199999999994</c:v>
                </c:pt>
                <c:pt idx="83">
                  <c:v>2.19618</c:v>
                </c:pt>
                <c:pt idx="84">
                  <c:v>2.2226399999999997</c:v>
                </c:pt>
                <c:pt idx="85">
                  <c:v>2.2490999999999999</c:v>
                </c:pt>
                <c:pt idx="86">
                  <c:v>2.2755599999999996</c:v>
                </c:pt>
                <c:pt idx="87">
                  <c:v>2.3020199999999997</c:v>
                </c:pt>
                <c:pt idx="88">
                  <c:v>2.3284799999999999</c:v>
                </c:pt>
                <c:pt idx="89">
                  <c:v>2.3549399999999996</c:v>
                </c:pt>
                <c:pt idx="90">
                  <c:v>2.3813999999999997</c:v>
                </c:pt>
                <c:pt idx="91">
                  <c:v>2.4078599999999999</c:v>
                </c:pt>
                <c:pt idx="92">
                  <c:v>2.43432</c:v>
                </c:pt>
                <c:pt idx="93">
                  <c:v>2.4607799999999997</c:v>
                </c:pt>
                <c:pt idx="94">
                  <c:v>2.4872399999999995</c:v>
                </c:pt>
                <c:pt idx="95">
                  <c:v>2.5136999999999996</c:v>
                </c:pt>
                <c:pt idx="96">
                  <c:v>2.5401599999999998</c:v>
                </c:pt>
                <c:pt idx="97">
                  <c:v>2.5666199999999995</c:v>
                </c:pt>
                <c:pt idx="98">
                  <c:v>2.5930799999999996</c:v>
                </c:pt>
                <c:pt idx="99">
                  <c:v>2.6195399999999998</c:v>
                </c:pt>
                <c:pt idx="100">
                  <c:v>2.6459999999999999</c:v>
                </c:pt>
              </c:numCache>
            </c:numRef>
          </c:yVal>
          <c:smooth val="0"/>
          <c:extLst>
            <c:ext xmlns:c16="http://schemas.microsoft.com/office/drawing/2014/chart" uri="{C3380CC4-5D6E-409C-BE32-E72D297353CC}">
              <c16:uniqueId val="{00000000-DE97-44C0-9E09-4F57490C830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56046611093765375"/>
          <c:y val="1.0080645161290322E-2"/>
          <c:w val="0.41405632280755778"/>
          <c:h val="0.13942069083982347"/>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Calculations'!$AV$9:$AV$109</c:f>
              <c:numCache>
                <c:formatCode>0.0%</c:formatCode>
                <c:ptCount val="101"/>
                <c:pt idx="0">
                  <c:v>0</c:v>
                </c:pt>
                <c:pt idx="1">
                  <c:v>9.6508451004115647E-2</c:v>
                </c:pt>
                <c:pt idx="2">
                  <c:v>0.17115731742437296</c:v>
                </c:pt>
                <c:pt idx="3">
                  <c:v>0.23068281158662091</c:v>
                </c:pt>
                <c:pt idx="4">
                  <c:v>0.27931149711010184</c:v>
                </c:pt>
                <c:pt idx="5">
                  <c:v>0.31982945463661588</c:v>
                </c:pt>
                <c:pt idx="6">
                  <c:v>0.35414777672223502</c:v>
                </c:pt>
                <c:pt idx="7">
                  <c:v>0.38362105847883088</c:v>
                </c:pt>
                <c:pt idx="8">
                  <c:v>0.40923621385420866</c:v>
                </c:pt>
                <c:pt idx="9">
                  <c:v>0.43172930010980992</c:v>
                </c:pt>
                <c:pt idx="10">
                  <c:v>0.4516604609234981</c:v>
                </c:pt>
                <c:pt idx="11">
                  <c:v>0.46946351730458447</c:v>
                </c:pt>
                <c:pt idx="12">
                  <c:v>0.48547967796672181</c:v>
                </c:pt>
                <c:pt idx="13">
                  <c:v>0.49998100156048209</c:v>
                </c:pt>
                <c:pt idx="14">
                  <c:v>0.51318707022337395</c:v>
                </c:pt>
                <c:pt idx="15">
                  <c:v>0.52527706066946855</c:v>
                </c:pt>
                <c:pt idx="16">
                  <c:v>0.53639862980228337</c:v>
                </c:pt>
                <c:pt idx="17">
                  <c:v>0.54667455426299305</c:v>
                </c:pt>
                <c:pt idx="18">
                  <c:v>0.55620775951174173</c:v>
                </c:pt>
                <c:pt idx="19">
                  <c:v>0.56508517646884615</c:v>
                </c:pt>
                <c:pt idx="20">
                  <c:v>0.57338073267777201</c:v>
                </c:pt>
                <c:pt idx="21">
                  <c:v>0.58115769641512682</c:v>
                </c:pt>
                <c:pt idx="22">
                  <c:v>0.5884705313651144</c:v>
                </c:pt>
                <c:pt idx="23">
                  <c:v>0.59536637707211082</c:v>
                </c:pt>
                <c:pt idx="24">
                  <c:v>0.60188624039755234</c:v>
                </c:pt>
                <c:pt idx="25">
                  <c:v>0.60789005450662581</c:v>
                </c:pt>
                <c:pt idx="26">
                  <c:v>0.61340462332398904</c:v>
                </c:pt>
                <c:pt idx="27">
                  <c:v>0.6185943003562353</c:v>
                </c:pt>
                <c:pt idx="28">
                  <c:v>0.62348629534998001</c:v>
                </c:pt>
                <c:pt idx="29">
                  <c:v>0.62810486233168927</c:v>
                </c:pt>
                <c:pt idx="30">
                  <c:v>0.63247169033334127</c:v>
                </c:pt>
                <c:pt idx="31">
                  <c:v>0.63660623373312342</c:v>
                </c:pt>
                <c:pt idx="32">
                  <c:v>0.64052599282537903</c:v>
                </c:pt>
                <c:pt idx="33">
                  <c:v>0.64424675315399038</c:v>
                </c:pt>
                <c:pt idx="34">
                  <c:v>0.64778279051096788</c:v>
                </c:pt>
                <c:pt idx="35">
                  <c:v>0.65114704721267236</c:v>
                </c:pt>
                <c:pt idx="36">
                  <c:v>0.65435128424154199</c:v>
                </c:pt>
                <c:pt idx="37">
                  <c:v>0.65740621302236502</c:v>
                </c:pt>
                <c:pt idx="38">
                  <c:v>0.66032160994412947</c:v>
                </c:pt>
                <c:pt idx="39">
                  <c:v>0.66310641620694311</c:v>
                </c:pt>
                <c:pt idx="40">
                  <c:v>0.66576882514201863</c:v>
                </c:pt>
                <c:pt idx="41">
                  <c:v>0.66831635880075702</c:v>
                </c:pt>
                <c:pt idx="42">
                  <c:v>0.67075593532057642</c:v>
                </c:pt>
                <c:pt idx="43">
                  <c:v>0.67309392833782322</c:v>
                </c:pt>
                <c:pt idx="44">
                  <c:v>0.67533621952199274</c:v>
                </c:pt>
                <c:pt idx="45">
                  <c:v>0.67748824514280781</c:v>
                </c:pt>
                <c:pt idx="46">
                  <c:v>0.67955503744620516</c:v>
                </c:pt>
                <c:pt idx="47">
                  <c:v>0.6815412615020443</c:v>
                </c:pt>
                <c:pt idx="48">
                  <c:v>0.68345124809136348</c:v>
                </c:pt>
                <c:pt idx="49">
                  <c:v>0.68528902312106366</c:v>
                </c:pt>
                <c:pt idx="50">
                  <c:v>0.68705833398640448</c:v>
                </c:pt>
                <c:pt idx="51">
                  <c:v>0.68876267324452389</c:v>
                </c:pt>
                <c:pt idx="52">
                  <c:v>0.6904052999136181</c:v>
                </c:pt>
                <c:pt idx="53">
                  <c:v>0.69198925867104089</c:v>
                </c:pt>
                <c:pt idx="54">
                  <c:v>0.69351739718821781</c:v>
                </c:pt>
                <c:pt idx="55">
                  <c:v>0.69499238180997525</c:v>
                </c:pt>
                <c:pt idx="56">
                  <c:v>0.69641671175986752</c:v>
                </c:pt>
                <c:pt idx="57">
                  <c:v>0.69779273203067216</c:v>
                </c:pt>
                <c:pt idx="58">
                  <c:v>0.69912264509987831</c:v>
                </c:pt>
                <c:pt idx="59">
                  <c:v>0.70040852159325628</c:v>
                </c:pt>
                <c:pt idx="60">
                  <c:v>0.70165231000507255</c:v>
                </c:pt>
                <c:pt idx="61">
                  <c:v>0.70285584557090386</c:v>
                </c:pt>
                <c:pt idx="62">
                  <c:v>0.70402085837799766</c:v>
                </c:pt>
                <c:pt idx="63">
                  <c:v>0.70514898078854438</c:v>
                </c:pt>
                <c:pt idx="64">
                  <c:v>0.70624175424282176</c:v>
                </c:pt>
                <c:pt idx="65">
                  <c:v>0.7073006355018211</c:v>
                </c:pt>
                <c:pt idx="66">
                  <c:v>0.70832700238250423</c:v>
                </c:pt>
                <c:pt idx="67">
                  <c:v>0.70932215903315687</c:v>
                </c:pt>
                <c:pt idx="68">
                  <c:v>0.71028734079129785</c:v>
                </c:pt>
                <c:pt idx="69">
                  <c:v>0.71122371866217915</c:v>
                </c:pt>
                <c:pt idx="70">
                  <c:v>0.71213240345200413</c:v>
                </c:pt>
                <c:pt idx="71">
                  <c:v>0.71301444958652782</c:v>
                </c:pt>
                <c:pt idx="72">
                  <c:v>0.71387085864262845</c:v>
                </c:pt>
                <c:pt idx="73">
                  <c:v>0.71470258261770991</c:v>
                </c:pt>
                <c:pt idx="74">
                  <c:v>0.71551052695936201</c:v>
                </c:pt>
                <c:pt idx="75">
                  <c:v>0.71629555337554407</c:v>
                </c:pt>
                <c:pt idx="76">
                  <c:v>0.7170584824436167</c:v>
                </c:pt>
                <c:pt idx="77">
                  <c:v>0.71780009603482398</c:v>
                </c:pt>
                <c:pt idx="78">
                  <c:v>0.71852113956927721</c:v>
                </c:pt>
                <c:pt idx="79">
                  <c:v>0.71922232411510645</c:v>
                </c:pt>
                <c:pt idx="80">
                  <c:v>0.71990432834420059</c:v>
                </c:pt>
                <c:pt idx="81">
                  <c:v>0.72056780035583612</c:v>
                </c:pt>
                <c:pt idx="82">
                  <c:v>0.7212133593784934</c:v>
                </c:pt>
                <c:pt idx="83">
                  <c:v>0.7218415973592458</c:v>
                </c:pt>
                <c:pt idx="84">
                  <c:v>0.72245308044929402</c:v>
                </c:pt>
                <c:pt idx="85">
                  <c:v>0.72304835039347704</c:v>
                </c:pt>
                <c:pt idx="86">
                  <c:v>0.7236279258309235</c:v>
                </c:pt>
                <c:pt idx="87">
                  <c:v>0.72419230351340458</c:v>
                </c:pt>
                <c:pt idx="88">
                  <c:v>0.7247419594473975</c:v>
                </c:pt>
                <c:pt idx="89">
                  <c:v>0.72527734996537951</c:v>
                </c:pt>
                <c:pt idx="90">
                  <c:v>0.72579891273141162</c:v>
                </c:pt>
                <c:pt idx="91">
                  <c:v>0.72630706768567022</c:v>
                </c:pt>
                <c:pt idx="92">
                  <c:v>0.7268022179322059</c:v>
                </c:pt>
                <c:pt idx="93">
                  <c:v>0.72728475057387132</c:v>
                </c:pt>
                <c:pt idx="94">
                  <c:v>0.72775503749805215</c:v>
                </c:pt>
                <c:pt idx="95">
                  <c:v>0.7282134361165451</c:v>
                </c:pt>
                <c:pt idx="96">
                  <c:v>0.72866029006268263</c:v>
                </c:pt>
                <c:pt idx="97">
                  <c:v>0.72909592984854954</c:v>
                </c:pt>
                <c:pt idx="98">
                  <c:v>0.72952067348494121</c:v>
                </c:pt>
                <c:pt idx="99">
                  <c:v>0.72993482706649637</c:v>
                </c:pt>
                <c:pt idx="100">
                  <c:v>0.73033868532427237</c:v>
                </c:pt>
              </c:numCache>
            </c:numRef>
          </c:yVal>
          <c:smooth val="0"/>
          <c:extLst>
            <c:ext xmlns:c16="http://schemas.microsoft.com/office/drawing/2014/chart" uri="{C3380CC4-5D6E-409C-BE32-E72D297353CC}">
              <c16:uniqueId val="{00000000-D0AF-458B-AAD9-F9E223A07CD7}"/>
            </c:ext>
          </c:extLst>
        </c:ser>
        <c:dLbls>
          <c:showLegendKey val="0"/>
          <c:showVal val="0"/>
          <c:showCatName val="0"/>
          <c:showSerName val="0"/>
          <c:showPercent val="0"/>
          <c:showBubbleSize val="0"/>
        </c:dLbls>
        <c:axId val="196665344"/>
        <c:axId val="196667264"/>
      </c:scatterChart>
      <c:valAx>
        <c:axId val="196665344"/>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7264"/>
        <c:crosses val="autoZero"/>
        <c:crossBetween val="midCat"/>
      </c:valAx>
      <c:valAx>
        <c:axId val="196667264"/>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53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Calculations'!$BC$9:$BC$109</c:f>
              <c:numCache>
                <c:formatCode>0.000</c:formatCode>
                <c:ptCount val="101"/>
                <c:pt idx="0">
                  <c:v>0.51918799052081699</c:v>
                </c:pt>
                <c:pt idx="1">
                  <c:v>0.55085581109296644</c:v>
                </c:pt>
                <c:pt idx="2">
                  <c:v>0.58198549201012062</c:v>
                </c:pt>
                <c:pt idx="3">
                  <c:v>0.61257705793303696</c:v>
                </c:pt>
                <c:pt idx="4">
                  <c:v>0.64263053159112637</c:v>
                </c:pt>
                <c:pt idx="5">
                  <c:v>0.67214593378062504</c:v>
                </c:pt>
                <c:pt idx="6">
                  <c:v>0.70112328336275609</c:v>
                </c:pt>
                <c:pt idx="7">
                  <c:v>0.72956259726187012</c:v>
                </c:pt>
                <c:pt idx="8">
                  <c:v>0.75746389046356732</c:v>
                </c:pt>
                <c:pt idx="9">
                  <c:v>0.78482717601280549</c:v>
                </c:pt>
                <c:pt idx="10">
                  <c:v>0.81165246501198929</c:v>
                </c:pt>
                <c:pt idx="11">
                  <c:v>0.83793976661904002</c:v>
                </c:pt>
                <c:pt idx="12">
                  <c:v>0.86368908804545141</c:v>
                </c:pt>
                <c:pt idx="13">
                  <c:v>0.88890043455432488</c:v>
                </c:pt>
                <c:pt idx="14">
                  <c:v>0.91357380945838806</c:v>
                </c:pt>
                <c:pt idx="15">
                  <c:v>0.93770921411799635</c:v>
                </c:pt>
                <c:pt idx="16">
                  <c:v>0.96130664793911658</c:v>
                </c:pt>
                <c:pt idx="17">
                  <c:v>0.98436610837129102</c:v>
                </c:pt>
                <c:pt idx="18">
                  <c:v>1.0068875909055868</c:v>
                </c:pt>
                <c:pt idx="19">
                  <c:v>1.0288710890725239</c:v>
                </c:pt>
                <c:pt idx="20">
                  <c:v>1.0503165944399888</c:v>
                </c:pt>
                <c:pt idx="21">
                  <c:v>1.0712240966111255</c:v>
                </c:pt>
                <c:pt idx="22">
                  <c:v>1.0915935832222137</c:v>
                </c:pt>
                <c:pt idx="23">
                  <c:v>1.1114250399405263</c:v>
                </c:pt>
                <c:pt idx="24">
                  <c:v>1.1307184504621672</c:v>
                </c:pt>
                <c:pt idx="25">
                  <c:v>1.1505942295806322</c:v>
                </c:pt>
                <c:pt idx="26">
                  <c:v>1.1712727211357705</c:v>
                </c:pt>
                <c:pt idx="27">
                  <c:v>1.1919548192871081</c:v>
                </c:pt>
                <c:pt idx="28">
                  <c:v>1.2126405321959279</c:v>
                </c:pt>
                <c:pt idx="29">
                  <c:v>1.2333298680419031</c:v>
                </c:pt>
                <c:pt idx="30">
                  <c:v>1.2540228350231644</c:v>
                </c:pt>
                <c:pt idx="31">
                  <c:v>1.2747194413563621</c:v>
                </c:pt>
                <c:pt idx="32">
                  <c:v>1.2954196952767327</c:v>
                </c:pt>
                <c:pt idx="33">
                  <c:v>1.3161236050381637</c:v>
                </c:pt>
                <c:pt idx="34">
                  <c:v>1.3368311789132603</c:v>
                </c:pt>
                <c:pt idx="35">
                  <c:v>1.3575424251934076</c:v>
                </c:pt>
                <c:pt idx="36">
                  <c:v>1.3782573521888413</c:v>
                </c:pt>
                <c:pt idx="37">
                  <c:v>1.3989759682287095</c:v>
                </c:pt>
                <c:pt idx="38">
                  <c:v>1.4196982816611423</c:v>
                </c:pt>
                <c:pt idx="39">
                  <c:v>1.4404243008533166</c:v>
                </c:pt>
                <c:pt idx="40">
                  <c:v>1.4611540341915248</c:v>
                </c:pt>
                <c:pt idx="41">
                  <c:v>1.4818874900812387</c:v>
                </c:pt>
                <c:pt idx="42">
                  <c:v>1.5026246769471818</c:v>
                </c:pt>
                <c:pt idx="43">
                  <c:v>1.5233656032333918</c:v>
                </c:pt>
                <c:pt idx="44">
                  <c:v>1.5441102774032924</c:v>
                </c:pt>
                <c:pt idx="45">
                  <c:v>1.5648587079397593</c:v>
                </c:pt>
                <c:pt idx="46">
                  <c:v>1.5856109033451897</c:v>
                </c:pt>
                <c:pt idx="47">
                  <c:v>1.6063668721415703</c:v>
                </c:pt>
                <c:pt idx="48">
                  <c:v>1.6271266228705463</c:v>
                </c:pt>
                <c:pt idx="49">
                  <c:v>1.6478901640934915</c:v>
                </c:pt>
                <c:pt idx="50">
                  <c:v>1.6686575043915761</c:v>
                </c:pt>
                <c:pt idx="51">
                  <c:v>1.6894286523658377</c:v>
                </c:pt>
                <c:pt idx="52">
                  <c:v>1.7102036166372514</c:v>
                </c:pt>
                <c:pt idx="53">
                  <c:v>1.7309824058467977</c:v>
                </c:pt>
                <c:pt idx="54">
                  <c:v>1.7517650286555364</c:v>
                </c:pt>
                <c:pt idx="55">
                  <c:v>1.7725514937446749</c:v>
                </c:pt>
                <c:pt idx="56">
                  <c:v>1.7933418098156404</c:v>
                </c:pt>
                <c:pt idx="57">
                  <c:v>1.8141359855901495</c:v>
                </c:pt>
                <c:pt idx="58">
                  <c:v>1.8349340298102823</c:v>
                </c:pt>
                <c:pt idx="59">
                  <c:v>1.8557359512385521</c:v>
                </c:pt>
                <c:pt idx="60">
                  <c:v>1.8765417586579782</c:v>
                </c:pt>
                <c:pt idx="61">
                  <c:v>1.8973514608721582</c:v>
                </c:pt>
                <c:pt idx="62">
                  <c:v>1.9181650667053405</c:v>
                </c:pt>
                <c:pt idx="63">
                  <c:v>1.9389825850024973</c:v>
                </c:pt>
                <c:pt idx="64">
                  <c:v>1.959804024629398</c:v>
                </c:pt>
                <c:pt idx="65">
                  <c:v>1.9806293944726816</c:v>
                </c:pt>
                <c:pt idx="66">
                  <c:v>2.0014587034399325</c:v>
                </c:pt>
                <c:pt idx="67">
                  <c:v>2.0222919604597518</c:v>
                </c:pt>
                <c:pt idx="68">
                  <c:v>2.0431291744818334</c:v>
                </c:pt>
                <c:pt idx="69">
                  <c:v>2.0639703544770374</c:v>
                </c:pt>
                <c:pt idx="70">
                  <c:v>2.0848155094374667</c:v>
                </c:pt>
                <c:pt idx="71">
                  <c:v>2.10566464837654</c:v>
                </c:pt>
                <c:pt idx="72">
                  <c:v>2.1265177803290696</c:v>
                </c:pt>
                <c:pt idx="73">
                  <c:v>2.1473749143513325</c:v>
                </c:pt>
                <c:pt idx="74">
                  <c:v>2.1682360595211523</c:v>
                </c:pt>
                <c:pt idx="75">
                  <c:v>2.1891012249379718</c:v>
                </c:pt>
                <c:pt idx="76">
                  <c:v>2.20997041972293</c:v>
                </c:pt>
                <c:pt idx="77">
                  <c:v>2.2308436530189399</c:v>
                </c:pt>
                <c:pt idx="78">
                  <c:v>2.2517209339907636</c:v>
                </c:pt>
                <c:pt idx="79">
                  <c:v>2.2726022718250931</c:v>
                </c:pt>
                <c:pt idx="80">
                  <c:v>2.2934876757306246</c:v>
                </c:pt>
                <c:pt idx="81">
                  <c:v>2.3143771549381382</c:v>
                </c:pt>
                <c:pt idx="82">
                  <c:v>2.3352707187005759</c:v>
                </c:pt>
                <c:pt idx="83">
                  <c:v>2.3561683762931214</c:v>
                </c:pt>
                <c:pt idx="84">
                  <c:v>2.3770701370132761</c:v>
                </c:pt>
                <c:pt idx="85">
                  <c:v>2.39797601018094</c:v>
                </c:pt>
                <c:pt idx="86">
                  <c:v>2.4188860051384937</c:v>
                </c:pt>
                <c:pt idx="87">
                  <c:v>2.4398001312508732</c:v>
                </c:pt>
                <c:pt idx="88">
                  <c:v>2.4607183979056542</c:v>
                </c:pt>
                <c:pt idx="89">
                  <c:v>2.481640814513129</c:v>
                </c:pt>
                <c:pt idx="90">
                  <c:v>2.5025673905063925</c:v>
                </c:pt>
                <c:pt idx="91">
                  <c:v>2.5234981353414163</c:v>
                </c:pt>
                <c:pt idx="92">
                  <c:v>2.5444330584971362</c:v>
                </c:pt>
                <c:pt idx="93">
                  <c:v>2.5653721694755296</c:v>
                </c:pt>
                <c:pt idx="94">
                  <c:v>2.5863154778017017</c:v>
                </c:pt>
                <c:pt idx="95">
                  <c:v>2.6072629930239639</c:v>
                </c:pt>
                <c:pt idx="96">
                  <c:v>2.6282147247139163</c:v>
                </c:pt>
                <c:pt idx="97">
                  <c:v>2.6491706824665355</c:v>
                </c:pt>
                <c:pt idx="98">
                  <c:v>2.6701308759002531</c:v>
                </c:pt>
                <c:pt idx="99">
                  <c:v>2.6910953146570402</c:v>
                </c:pt>
                <c:pt idx="100">
                  <c:v>2.7120640084024932</c:v>
                </c:pt>
              </c:numCache>
            </c:numRef>
          </c:yVal>
          <c:smooth val="0"/>
          <c:extLst>
            <c:ext xmlns:c16="http://schemas.microsoft.com/office/drawing/2014/chart" uri="{C3380CC4-5D6E-409C-BE32-E72D297353CC}">
              <c16:uniqueId val="{00000000-CD56-4A2A-9FDC-2F5EB8C6A064}"/>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Calculations'!$BD$9:$BD$109</c:f>
              <c:numCache>
                <c:formatCode>0.000</c:formatCode>
                <c:ptCount val="101"/>
                <c:pt idx="0">
                  <c:v>2.0710925083526201E-2</c:v>
                </c:pt>
                <c:pt idx="1">
                  <c:v>3.0273105328994309E-2</c:v>
                </c:pt>
                <c:pt idx="2">
                  <c:v>3.9842051913902693E-2</c:v>
                </c:pt>
                <c:pt idx="3">
                  <c:v>4.9417766688109391E-2</c:v>
                </c:pt>
                <c:pt idx="4">
                  <c:v>5.9000251542756468E-2</c:v>
                </c:pt>
                <c:pt idx="5">
                  <c:v>6.8589508410282163E-2</c:v>
                </c:pt>
                <c:pt idx="6">
                  <c:v>7.8185539264433807E-2</c:v>
                </c:pt>
                <c:pt idx="7">
                  <c:v>8.7788346120281163E-2</c:v>
                </c:pt>
                <c:pt idx="8">
                  <c:v>9.7397931034230542E-2</c:v>
                </c:pt>
                <c:pt idx="9">
                  <c:v>0.10701429610403954</c:v>
                </c:pt>
                <c:pt idx="10">
                  <c:v>0.1166374434688324</c:v>
                </c:pt>
                <c:pt idx="11">
                  <c:v>0.12626737530911586</c:v>
                </c:pt>
                <c:pt idx="12">
                  <c:v>0.13590409384679591</c:v>
                </c:pt>
                <c:pt idx="13">
                  <c:v>0.14554760134519501</c:v>
                </c:pt>
                <c:pt idx="14">
                  <c:v>0.15519790010906975</c:v>
                </c:pt>
                <c:pt idx="15">
                  <c:v>0.16485499248462976</c:v>
                </c:pt>
                <c:pt idx="16">
                  <c:v>0.17451888085955647</c:v>
                </c:pt>
                <c:pt idx="17">
                  <c:v>0.18418956766302302</c:v>
                </c:pt>
                <c:pt idx="18">
                  <c:v>0.19386705536571475</c:v>
                </c:pt>
                <c:pt idx="19">
                  <c:v>0.20355134647985013</c:v>
                </c:pt>
                <c:pt idx="20">
                  <c:v>0.21324244355920247</c:v>
                </c:pt>
                <c:pt idx="21">
                  <c:v>0.22294034919912215</c:v>
                </c:pt>
                <c:pt idx="22">
                  <c:v>0.23264506603655979</c:v>
                </c:pt>
                <c:pt idx="23">
                  <c:v>0.24235659675008961</c:v>
                </c:pt>
                <c:pt idx="24">
                  <c:v>0.25207494405993358</c:v>
                </c:pt>
                <c:pt idx="25">
                  <c:v>0.26225011953209787</c:v>
                </c:pt>
                <c:pt idx="26">
                  <c:v>0.27280219016655055</c:v>
                </c:pt>
                <c:pt idx="27">
                  <c:v>0.28336113112064842</c:v>
                </c:pt>
                <c:pt idx="28">
                  <c:v>0.2939269478004371</c:v>
                </c:pt>
                <c:pt idx="29">
                  <c:v>0.30449964565393722</c:v>
                </c:pt>
                <c:pt idx="30">
                  <c:v>0.3150792301711991</c:v>
                </c:pt>
                <c:pt idx="31">
                  <c:v>0.32566570688435659</c:v>
                </c:pt>
                <c:pt idx="32">
                  <c:v>0.33625908136768218</c:v>
                </c:pt>
                <c:pt idx="33">
                  <c:v>0.34685935923764305</c:v>
                </c:pt>
                <c:pt idx="34">
                  <c:v>0.35746654615295742</c:v>
                </c:pt>
                <c:pt idx="35">
                  <c:v>0.36808064781465094</c:v>
                </c:pt>
                <c:pt idx="36">
                  <c:v>0.37870166996611543</c:v>
                </c:pt>
                <c:pt idx="37">
                  <c:v>0.38932961839316604</c:v>
                </c:pt>
                <c:pt idx="38">
                  <c:v>0.39996449892410102</c:v>
                </c:pt>
                <c:pt idx="39">
                  <c:v>0.41060631742976106</c:v>
                </c:pt>
                <c:pt idx="40">
                  <c:v>0.42125507982358956</c:v>
                </c:pt>
                <c:pt idx="41">
                  <c:v>0.43191079206169325</c:v>
                </c:pt>
                <c:pt idx="42">
                  <c:v>0.44257346014290472</c:v>
                </c:pt>
                <c:pt idx="43">
                  <c:v>0.45324309010884328</c:v>
                </c:pt>
                <c:pt idx="44">
                  <c:v>0.46391968804397909</c:v>
                </c:pt>
                <c:pt idx="45">
                  <c:v>0.47460326007569575</c:v>
                </c:pt>
                <c:pt idx="46">
                  <c:v>0.48529381237435543</c:v>
                </c:pt>
                <c:pt idx="47">
                  <c:v>0.49599135115336268</c:v>
                </c:pt>
                <c:pt idx="48">
                  <c:v>0.50669588266923116</c:v>
                </c:pt>
                <c:pt idx="49">
                  <c:v>0.51740741322164863</c:v>
                </c:pt>
                <c:pt idx="50">
                  <c:v>0.52812594915354494</c:v>
                </c:pt>
                <c:pt idx="51">
                  <c:v>0.53885149685115852</c:v>
                </c:pt>
                <c:pt idx="52">
                  <c:v>0.54958406274410554</c:v>
                </c:pt>
                <c:pt idx="53">
                  <c:v>0.56032365330544798</c:v>
                </c:pt>
                <c:pt idx="54">
                  <c:v>0.57107027505176378</c:v>
                </c:pt>
                <c:pt idx="55">
                  <c:v>0.58182393454321668</c:v>
                </c:pt>
                <c:pt idx="56">
                  <c:v>0.59258463838362752</c:v>
                </c:pt>
                <c:pt idx="57">
                  <c:v>0.6033523932205449</c:v>
                </c:pt>
                <c:pt idx="58">
                  <c:v>0.61412720574531898</c:v>
                </c:pt>
                <c:pt idx="59">
                  <c:v>0.62490908269317291</c:v>
                </c:pt>
                <c:pt idx="60">
                  <c:v>0.63569803084327725</c:v>
                </c:pt>
                <c:pt idx="61">
                  <c:v>0.64649405701882401</c:v>
                </c:pt>
                <c:pt idx="62">
                  <c:v>0.65729716808710181</c:v>
                </c:pt>
                <c:pt idx="63">
                  <c:v>0.66810737095957118</c:v>
                </c:pt>
                <c:pt idx="64">
                  <c:v>0.67892467259194178</c:v>
                </c:pt>
                <c:pt idx="65">
                  <c:v>0.68974907998424806</c:v>
                </c:pt>
                <c:pt idx="66">
                  <c:v>0.70058060018092849</c:v>
                </c:pt>
                <c:pt idx="67">
                  <c:v>0.71141924027090309</c:v>
                </c:pt>
                <c:pt idx="68">
                  <c:v>0.72226500738765287</c:v>
                </c:pt>
                <c:pt idx="69">
                  <c:v>0.73311790870929916</c:v>
                </c:pt>
                <c:pt idx="70">
                  <c:v>0.74397795145868528</c:v>
                </c:pt>
                <c:pt idx="71">
                  <c:v>0.75484514290345661</c:v>
                </c:pt>
                <c:pt idx="72">
                  <c:v>0.7657194903561434</c:v>
                </c:pt>
                <c:pt idx="73">
                  <c:v>0.77660100117424258</c:v>
                </c:pt>
                <c:pt idx="74">
                  <c:v>0.78748968276030151</c:v>
                </c:pt>
                <c:pt idx="75">
                  <c:v>0.79838554256200278</c:v>
                </c:pt>
                <c:pt idx="76">
                  <c:v>0.80928858807224757</c:v>
                </c:pt>
                <c:pt idx="77">
                  <c:v>0.82019882682924239</c:v>
                </c:pt>
                <c:pt idx="78">
                  <c:v>0.8311162664165842</c:v>
                </c:pt>
                <c:pt idx="79">
                  <c:v>0.84204091446334861</c:v>
                </c:pt>
                <c:pt idx="80">
                  <c:v>0.85297277864417631</c:v>
                </c:pt>
                <c:pt idx="81">
                  <c:v>0.86391186667936193</c:v>
                </c:pt>
                <c:pt idx="82">
                  <c:v>0.87485818633494317</c:v>
                </c:pt>
                <c:pt idx="83">
                  <c:v>0.88581174542279129</c:v>
                </c:pt>
                <c:pt idx="84">
                  <c:v>0.8967725518006997</c:v>
                </c:pt>
                <c:pt idx="85">
                  <c:v>0.90774061337247747</c:v>
                </c:pt>
                <c:pt idx="86">
                  <c:v>0.91871593808803997</c:v>
                </c:pt>
                <c:pt idx="87">
                  <c:v>0.9296985339435021</c:v>
                </c:pt>
                <c:pt idx="88">
                  <c:v>0.94068840898127171</c:v>
                </c:pt>
                <c:pt idx="89">
                  <c:v>0.95168557129014308</c:v>
                </c:pt>
                <c:pt idx="90">
                  <c:v>0.96269002900539391</c:v>
                </c:pt>
                <c:pt idx="91">
                  <c:v>0.9737017903088786</c:v>
                </c:pt>
                <c:pt idx="92">
                  <c:v>0.98472086342912624</c:v>
                </c:pt>
                <c:pt idx="93">
                  <c:v>0.99574725664143682</c:v>
                </c:pt>
                <c:pt idx="94">
                  <c:v>1.0067809782679809</c:v>
                </c:pt>
                <c:pt idx="95">
                  <c:v>1.0178220366778958</c:v>
                </c:pt>
                <c:pt idx="96">
                  <c:v>1.0288704402873872</c:v>
                </c:pt>
                <c:pt idx="97">
                  <c:v>1.0399261975598284</c:v>
                </c:pt>
                <c:pt idx="98">
                  <c:v>1.0509893170058615</c:v>
                </c:pt>
                <c:pt idx="99">
                  <c:v>1.0620598071834988</c:v>
                </c:pt>
                <c:pt idx="100">
                  <c:v>1.0731376766982259</c:v>
                </c:pt>
              </c:numCache>
            </c:numRef>
          </c:yVal>
          <c:smooth val="0"/>
          <c:extLst>
            <c:ext xmlns:c16="http://schemas.microsoft.com/office/drawing/2014/chart" uri="{C3380CC4-5D6E-409C-BE32-E72D297353CC}">
              <c16:uniqueId val="{00000001-CD56-4A2A-9FDC-2F5EB8C6A064}"/>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Calculations'!$U$9:$U$109</c:f>
              <c:numCache>
                <c:formatCode>0.000</c:formatCode>
                <c:ptCount val="101"/>
                <c:pt idx="0">
                  <c:v>0.30161891127610962</c:v>
                </c:pt>
                <c:pt idx="1">
                  <c:v>0.30162767168675886</c:v>
                </c:pt>
                <c:pt idx="2">
                  <c:v>0.30165282037075125</c:v>
                </c:pt>
                <c:pt idx="3">
                  <c:v>0.30169435752123158</c:v>
                </c:pt>
                <c:pt idx="4">
                  <c:v>0.30175228345722754</c:v>
                </c:pt>
                <c:pt idx="5">
                  <c:v>0.30182659862365602</c:v>
                </c:pt>
                <c:pt idx="6">
                  <c:v>0.30191730359133184</c:v>
                </c:pt>
                <c:pt idx="7">
                  <c:v>0.30202439905697837</c:v>
                </c:pt>
                <c:pt idx="8">
                  <c:v>0.30214788584324093</c:v>
                </c:pt>
                <c:pt idx="9">
                  <c:v>0.30228776489870296</c:v>
                </c:pt>
                <c:pt idx="10">
                  <c:v>0.30244403729790381</c:v>
                </c:pt>
                <c:pt idx="11">
                  <c:v>0.30261670424135956</c:v>
                </c:pt>
                <c:pt idx="12">
                  <c:v>0.30280576705558626</c:v>
                </c:pt>
                <c:pt idx="13">
                  <c:v>0.30301122719312501</c:v>
                </c:pt>
                <c:pt idx="14">
                  <c:v>0.30323308623257006</c:v>
                </c:pt>
                <c:pt idx="15">
                  <c:v>0.30347134587859931</c:v>
                </c:pt>
                <c:pt idx="16">
                  <c:v>0.30372600796200699</c:v>
                </c:pt>
                <c:pt idx="17">
                  <c:v>0.30399707443973834</c:v>
                </c:pt>
                <c:pt idx="18">
                  <c:v>0.30428454739492794</c:v>
                </c:pt>
                <c:pt idx="19">
                  <c:v>0.3045884290369395</c:v>
                </c:pt>
                <c:pt idx="20">
                  <c:v>0.30490872170140798</c:v>
                </c:pt>
                <c:pt idx="21">
                  <c:v>0.30524542785028491</c:v>
                </c:pt>
                <c:pt idx="22">
                  <c:v>0.30559855007188547</c:v>
                </c:pt>
                <c:pt idx="23">
                  <c:v>0.30596809108093848</c:v>
                </c:pt>
                <c:pt idx="24">
                  <c:v>0.30635405371863839</c:v>
                </c:pt>
                <c:pt idx="25">
                  <c:v>0.30675644095269972</c:v>
                </c:pt>
                <c:pt idx="26">
                  <c:v>0.3071752558774149</c:v>
                </c:pt>
                <c:pt idx="27">
                  <c:v>0.30761050171371279</c:v>
                </c:pt>
                <c:pt idx="28">
                  <c:v>0.3080621818092214</c:v>
                </c:pt>
                <c:pt idx="29">
                  <c:v>0.30853029963833201</c:v>
                </c:pt>
                <c:pt idx="30">
                  <c:v>0.30901485880226592</c:v>
                </c:pt>
                <c:pt idx="31">
                  <c:v>0.30951586302914408</c:v>
                </c:pt>
                <c:pt idx="32">
                  <c:v>0.31003331617405849</c:v>
                </c:pt>
                <c:pt idx="33">
                  <c:v>0.31056722221914657</c:v>
                </c:pt>
                <c:pt idx="34">
                  <c:v>0.31111758527366812</c:v>
                </c:pt>
                <c:pt idx="35">
                  <c:v>0.31168440957408383</c:v>
                </c:pt>
                <c:pt idx="36">
                  <c:v>0.31226769948413752</c:v>
                </c:pt>
                <c:pt idx="37">
                  <c:v>0.31286745949493988</c:v>
                </c:pt>
                <c:pt idx="38">
                  <c:v>0.31348369422505501</c:v>
                </c:pt>
                <c:pt idx="39">
                  <c:v>0.31411640842058952</c:v>
                </c:pt>
                <c:pt idx="40">
                  <c:v>0.31476560695528416</c:v>
                </c:pt>
                <c:pt idx="41">
                  <c:v>0.31543129483060739</c:v>
                </c:pt>
                <c:pt idx="42">
                  <c:v>0.31611347717585225</c:v>
                </c:pt>
                <c:pt idx="43">
                  <c:v>0.31681215924823525</c:v>
                </c:pt>
                <c:pt idx="44">
                  <c:v>0.31752734643299735</c:v>
                </c:pt>
                <c:pt idx="45">
                  <c:v>0.31825904424350865</c:v>
                </c:pt>
                <c:pt idx="46">
                  <c:v>0.31900725832137405</c:v>
                </c:pt>
                <c:pt idx="47">
                  <c:v>0.31977199443654292</c:v>
                </c:pt>
                <c:pt idx="48">
                  <c:v>0.32055325848741978</c:v>
                </c:pt>
                <c:pt idx="49">
                  <c:v>0.32135105650097884</c:v>
                </c:pt>
                <c:pt idx="50">
                  <c:v>0.32216539463288013</c:v>
                </c:pt>
                <c:pt idx="51">
                  <c:v>0.32299627916758877</c:v>
                </c:pt>
                <c:pt idx="52">
                  <c:v>0.32384371651849614</c:v>
                </c:pt>
                <c:pt idx="53">
                  <c:v>0.32470771322804409</c:v>
                </c:pt>
                <c:pt idx="54">
                  <c:v>0.32558827596785145</c:v>
                </c:pt>
                <c:pt idx="55">
                  <c:v>0.32648541153884314</c:v>
                </c:pt>
                <c:pt idx="56">
                  <c:v>0.32739912687138195</c:v>
                </c:pt>
                <c:pt idx="57">
                  <c:v>0.32832942902540246</c:v>
                </c:pt>
                <c:pt idx="58">
                  <c:v>0.32927632519054784</c:v>
                </c:pt>
                <c:pt idx="59">
                  <c:v>0.33023982268630919</c:v>
                </c:pt>
                <c:pt idx="60">
                  <c:v>0.33121992896216773</c:v>
                </c:pt>
                <c:pt idx="61">
                  <c:v>0.33221665159773839</c:v>
                </c:pt>
                <c:pt idx="62">
                  <c:v>0.3332299983029175</c:v>
                </c:pt>
                <c:pt idx="63">
                  <c:v>0.33425997691803211</c:v>
                </c:pt>
                <c:pt idx="64">
                  <c:v>0.33530659541399227</c:v>
                </c:pt>
                <c:pt idx="65">
                  <c:v>0.33636986189244544</c:v>
                </c:pt>
                <c:pt idx="66">
                  <c:v>0.33744978458593416</c:v>
                </c:pt>
                <c:pt idx="67">
                  <c:v>0.33854637185805564</c:v>
                </c:pt>
                <c:pt idx="68">
                  <c:v>0.33965963220362455</c:v>
                </c:pt>
                <c:pt idx="69">
                  <c:v>0.34078957424883816</c:v>
                </c:pt>
                <c:pt idx="70">
                  <c:v>0.34193620675144387</c:v>
                </c:pt>
                <c:pt idx="71">
                  <c:v>0.34309953860090975</c:v>
                </c:pt>
                <c:pt idx="72">
                  <c:v>0.34427957881859744</c:v>
                </c:pt>
                <c:pt idx="73">
                  <c:v>0.34547633655793786</c:v>
                </c:pt>
                <c:pt idx="74">
                  <c:v>0.34668982110460955</c:v>
                </c:pt>
                <c:pt idx="75">
                  <c:v>0.34792004187671954</c:v>
                </c:pt>
                <c:pt idx="76">
                  <c:v>0.3491670084249866</c:v>
                </c:pt>
                <c:pt idx="77">
                  <c:v>0.35043073043292805</c:v>
                </c:pt>
                <c:pt idx="78">
                  <c:v>0.35171121771704839</c:v>
                </c:pt>
                <c:pt idx="79">
                  <c:v>0.3530084802270308</c:v>
                </c:pt>
                <c:pt idx="80">
                  <c:v>0.3543225280459314</c:v>
                </c:pt>
                <c:pt idx="81">
                  <c:v>0.3556533713903765</c:v>
                </c:pt>
                <c:pt idx="82">
                  <c:v>0.35700102061076194</c:v>
                </c:pt>
                <c:pt idx="83">
                  <c:v>0.35836548619145547</c:v>
                </c:pt>
                <c:pt idx="84">
                  <c:v>0.35974677875100197</c:v>
                </c:pt>
                <c:pt idx="85">
                  <c:v>0.36114490904233115</c:v>
                </c:pt>
                <c:pt idx="86">
                  <c:v>0.36255988795296801</c:v>
                </c:pt>
                <c:pt idx="87">
                  <c:v>0.36399172650524608</c:v>
                </c:pt>
                <c:pt idx="88">
                  <c:v>0.36544043585652353</c:v>
                </c:pt>
                <c:pt idx="89">
                  <c:v>0.3669060272994018</c:v>
                </c:pt>
                <c:pt idx="90">
                  <c:v>0.36838851226194708</c:v>
                </c:pt>
                <c:pt idx="91">
                  <c:v>0.36988790230791452</c:v>
                </c:pt>
                <c:pt idx="92">
                  <c:v>0.37140420913697542</c:v>
                </c:pt>
                <c:pt idx="93">
                  <c:v>0.37293744458494693</c:v>
                </c:pt>
                <c:pt idx="94">
                  <c:v>0.37448762062402458</c:v>
                </c:pt>
                <c:pt idx="95">
                  <c:v>0.37605474936301797</c:v>
                </c:pt>
                <c:pt idx="96">
                  <c:v>0.3776388430475886</c:v>
                </c:pt>
                <c:pt idx="97">
                  <c:v>0.37923991406049101</c:v>
                </c:pt>
                <c:pt idx="98">
                  <c:v>0.380857974921817</c:v>
                </c:pt>
                <c:pt idx="99">
                  <c:v>0.38249303828924175</c:v>
                </c:pt>
                <c:pt idx="100">
                  <c:v>0.38414511695827369</c:v>
                </c:pt>
              </c:numCache>
            </c:numRef>
          </c:yVal>
          <c:smooth val="0"/>
          <c:extLst>
            <c:ext xmlns:c16="http://schemas.microsoft.com/office/drawing/2014/chart" uri="{C3380CC4-5D6E-409C-BE32-E72D297353CC}">
              <c16:uniqueId val="{00000002-CD56-4A2A-9FDC-2F5EB8C6A06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'Ch2 Efficiency Calculations'!$AW$8</c:f>
              <c:strCache>
                <c:ptCount val="1"/>
                <c:pt idx="0">
                  <c:v>Buck ''CONTROL'' MOSFET Temp Rise</c:v>
                </c:pt>
              </c:strCache>
            </c:strRef>
          </c:tx>
          <c:spPr>
            <a:ln w="31750">
              <a:solidFill>
                <a:srgbClr val="000080"/>
              </a:solidFill>
              <a:prstDash val="dash"/>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Calculations'!$AW$9:$AW$109</c:f>
              <c:numCache>
                <c:formatCode>0.0</c:formatCode>
                <c:ptCount val="101"/>
                <c:pt idx="0">
                  <c:v>26.878373393878697</c:v>
                </c:pt>
                <c:pt idx="1">
                  <c:v>29.061157181610177</c:v>
                </c:pt>
                <c:pt idx="2">
                  <c:v>31.136159030520496</c:v>
                </c:pt>
                <c:pt idx="3">
                  <c:v>33.103388185396312</c:v>
                </c:pt>
                <c:pt idx="4">
                  <c:v>34.962852100761893</c:v>
                </c:pt>
                <c:pt idx="5">
                  <c:v>36.714556438729765</c:v>
                </c:pt>
                <c:pt idx="6">
                  <c:v>38.358505066776843</c:v>
                </c:pt>
                <c:pt idx="7">
                  <c:v>39.894700055446073</c:v>
                </c:pt>
                <c:pt idx="8">
                  <c:v>41.323141675973027</c:v>
                </c:pt>
                <c:pt idx="9">
                  <c:v>42.643828397837325</c:v>
                </c:pt>
                <c:pt idx="10">
                  <c:v>43.856756886238436</c:v>
                </c:pt>
                <c:pt idx="11">
                  <c:v>44.961921999495829</c:v>
                </c:pt>
                <c:pt idx="12">
                  <c:v>46.102760674053208</c:v>
                </c:pt>
                <c:pt idx="13">
                  <c:v>47.306054986811738</c:v>
                </c:pt>
                <c:pt idx="14">
                  <c:v>48.510397959662932</c:v>
                </c:pt>
                <c:pt idx="15">
                  <c:v>49.715793278536822</c:v>
                </c:pt>
                <c:pt idx="16">
                  <c:v>50.922244650430045</c:v>
                </c:pt>
                <c:pt idx="17">
                  <c:v>52.129755803536447</c:v>
                </c:pt>
                <c:pt idx="18">
                  <c:v>53.338330487378641</c:v>
                </c:pt>
                <c:pt idx="19">
                  <c:v>54.547972472940877</c:v>
                </c:pt>
                <c:pt idx="20">
                  <c:v>55.758685552802788</c:v>
                </c:pt>
                <c:pt idx="21">
                  <c:v>56.970473541274416</c:v>
                </c:pt>
                <c:pt idx="22">
                  <c:v>58.18334027453227</c:v>
                </c:pt>
                <c:pt idx="23">
                  <c:v>59.39728961075653</c:v>
                </c:pt>
                <c:pt idx="24">
                  <c:v>60.612325430269422</c:v>
                </c:pt>
                <c:pt idx="25">
                  <c:v>61.828451635674739</c:v>
                </c:pt>
                <c:pt idx="26">
                  <c:v>63.045672151998453</c:v>
                </c:pt>
                <c:pt idx="27">
                  <c:v>64.263990926830587</c:v>
                </c:pt>
                <c:pt idx="28">
                  <c:v>65.48341193046825</c:v>
                </c:pt>
                <c:pt idx="29">
                  <c:v>66.703939156059889</c:v>
                </c:pt>
                <c:pt idx="30">
                  <c:v>67.925576619750629</c:v>
                </c:pt>
                <c:pt idx="31">
                  <c:v>69.148328360828984</c:v>
                </c:pt>
                <c:pt idx="32">
                  <c:v>70.372198441874673</c:v>
                </c:pt>
                <c:pt idx="33">
                  <c:v>71.597190948907809</c:v>
                </c:pt>
                <c:pt idx="34">
                  <c:v>72.82330999153919</c:v>
                </c:pt>
                <c:pt idx="35">
                  <c:v>74.050559703121863</c:v>
                </c:pt>
                <c:pt idx="36">
                  <c:v>75.278944240904181</c:v>
                </c:pt>
                <c:pt idx="37">
                  <c:v>76.508467786183829</c:v>
                </c:pt>
                <c:pt idx="38">
                  <c:v>77.739134544463383</c:v>
                </c:pt>
                <c:pt idx="39">
                  <c:v>78.970948745607018</c:v>
                </c:pt>
                <c:pt idx="40">
                  <c:v>80.203914643998715</c:v>
                </c:pt>
                <c:pt idx="41">
                  <c:v>81.438036518701551</c:v>
                </c:pt>
                <c:pt idx="42">
                  <c:v>82.673318673618667</c:v>
                </c:pt>
                <c:pt idx="43">
                  <c:v>83.909765437655224</c:v>
                </c:pt>
                <c:pt idx="44">
                  <c:v>85.147381164882049</c:v>
                </c:pt>
                <c:pt idx="45">
                  <c:v>86.386170234700472</c:v>
                </c:pt>
                <c:pt idx="46">
                  <c:v>87.626137052008588</c:v>
                </c:pt>
                <c:pt idx="47">
                  <c:v>88.867286047369021</c:v>
                </c:pt>
                <c:pt idx="48">
                  <c:v>90.109621677178026</c:v>
                </c:pt>
                <c:pt idx="49">
                  <c:v>91.35314842383606</c:v>
                </c:pt>
                <c:pt idx="50">
                  <c:v>92.597870795919718</c:v>
                </c:pt>
                <c:pt idx="51">
                  <c:v>93.843793328355346</c:v>
                </c:pt>
                <c:pt idx="52">
                  <c:v>95.090920582593853</c:v>
                </c:pt>
                <c:pt idx="53">
                  <c:v>96.339257146787219</c:v>
                </c:pt>
                <c:pt idx="54">
                  <c:v>97.588807635966504</c:v>
                </c:pt>
                <c:pt idx="55">
                  <c:v>98.839576692221186</c:v>
                </c:pt>
                <c:pt idx="56">
                  <c:v>100.0915689848803</c:v>
                </c:pt>
                <c:pt idx="57">
                  <c:v>101.34478921069487</c:v>
                </c:pt>
                <c:pt idx="58">
                  <c:v>102.59924209402213</c:v>
                </c:pt>
                <c:pt idx="59">
                  <c:v>103.85493238701117</c:v>
                </c:pt>
                <c:pt idx="60">
                  <c:v>105.11186486979022</c:v>
                </c:pt>
                <c:pt idx="61">
                  <c:v>106.37004435065562</c:v>
                </c:pt>
                <c:pt idx="62">
                  <c:v>107.62947566626222</c:v>
                </c:pt>
                <c:pt idx="63">
                  <c:v>108.89016368181568</c:v>
                </c:pt>
                <c:pt idx="64">
                  <c:v>110.15211329126626</c:v>
                </c:pt>
                <c:pt idx="65">
                  <c:v>111.41532941750425</c:v>
                </c:pt>
                <c:pt idx="66">
                  <c:v>112.67981701255718</c:v>
                </c:pt>
                <c:pt idx="67">
                  <c:v>113.94558105778889</c:v>
                </c:pt>
                <c:pt idx="68">
                  <c:v>115.21262656409988</c:v>
                </c:pt>
                <c:pt idx="69">
                  <c:v>116.48095857212969</c:v>
                </c:pt>
                <c:pt idx="70">
                  <c:v>117.75058215246136</c:v>
                </c:pt>
                <c:pt idx="71">
                  <c:v>119.02150240582681</c:v>
                </c:pt>
                <c:pt idx="72">
                  <c:v>120.29372446331492</c:v>
                </c:pt>
                <c:pt idx="73">
                  <c:v>121.56725348658075</c:v>
                </c:pt>
                <c:pt idx="74">
                  <c:v>122.842094668057</c:v>
                </c:pt>
                <c:pt idx="75">
                  <c:v>124.1182532311671</c:v>
                </c:pt>
                <c:pt idx="76">
                  <c:v>125.3957344305403</c:v>
                </c:pt>
                <c:pt idx="77">
                  <c:v>126.6745435522284</c:v>
                </c:pt>
                <c:pt idx="78">
                  <c:v>127.95468591392469</c:v>
                </c:pt>
                <c:pt idx="79">
                  <c:v>129.23616686518469</c:v>
                </c:pt>
                <c:pt idx="80">
                  <c:v>130.51899178764859</c:v>
                </c:pt>
                <c:pt idx="81">
                  <c:v>131.80316609526614</c:v>
                </c:pt>
                <c:pt idx="82">
                  <c:v>133.08869523452299</c:v>
                </c:pt>
                <c:pt idx="83">
                  <c:v>134.37558468466943</c:v>
                </c:pt>
                <c:pt idx="84">
                  <c:v>135.66383995795087</c:v>
                </c:pt>
                <c:pt idx="85">
                  <c:v>136.95346659984054</c:v>
                </c:pt>
                <c:pt idx="86">
                  <c:v>138.24447018927418</c:v>
                </c:pt>
                <c:pt idx="87">
                  <c:v>139.53685633888674</c:v>
                </c:pt>
                <c:pt idx="88">
                  <c:v>140.83063069525124</c:v>
                </c:pt>
                <c:pt idx="89">
                  <c:v>142.12579893911985</c:v>
                </c:pt>
                <c:pt idx="90">
                  <c:v>143.42236678566695</c:v>
                </c:pt>
                <c:pt idx="91">
                  <c:v>144.72033998473435</c:v>
                </c:pt>
                <c:pt idx="92">
                  <c:v>146.01972432107883</c:v>
                </c:pt>
                <c:pt idx="93">
                  <c:v>147.32052561462172</c:v>
                </c:pt>
                <c:pt idx="94">
                  <c:v>148.62274972070097</c:v>
                </c:pt>
                <c:pt idx="95">
                  <c:v>149.92640253032522</c:v>
                </c:pt>
                <c:pt idx="96">
                  <c:v>151.23148997043009</c:v>
                </c:pt>
                <c:pt idx="97">
                  <c:v>152.53801800413706</c:v>
                </c:pt>
                <c:pt idx="98">
                  <c:v>153.84599263101447</c:v>
                </c:pt>
                <c:pt idx="99">
                  <c:v>155.15541988734091</c:v>
                </c:pt>
                <c:pt idx="100">
                  <c:v>156.46630584637094</c:v>
                </c:pt>
              </c:numCache>
            </c:numRef>
          </c:yVal>
          <c:smooth val="0"/>
          <c:extLst>
            <c:ext xmlns:c16="http://schemas.microsoft.com/office/drawing/2014/chart" uri="{C3380CC4-5D6E-409C-BE32-E72D297353CC}">
              <c16:uniqueId val="{00000000-F506-44FF-8C40-0061493B9501}"/>
            </c:ext>
          </c:extLst>
        </c:ser>
        <c:ser>
          <c:idx val="1"/>
          <c:order val="1"/>
          <c:tx>
            <c:strRef>
              <c:f>'Ch2 Efficiency Calculations'!$AX$8</c:f>
              <c:strCache>
                <c:ptCount val="1"/>
                <c:pt idx="0">
                  <c:v>Buck ''SYNC'' MOSFET Temp Rise</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Calculations'!$AX$9:$AX$109</c:f>
              <c:numCache>
                <c:formatCode>0.0</c:formatCode>
                <c:ptCount val="101"/>
                <c:pt idx="0">
                  <c:v>0.72925884866920909</c:v>
                </c:pt>
                <c:pt idx="1">
                  <c:v>1.1242356060390835</c:v>
                </c:pt>
                <c:pt idx="2">
                  <c:v>1.5201431691165588</c:v>
                </c:pt>
                <c:pt idx="3">
                  <c:v>1.9169822732175372</c:v>
                </c:pt>
                <c:pt idx="4">
                  <c:v>2.3147536806524682</c:v>
                </c:pt>
                <c:pt idx="5">
                  <c:v>2.7134581807543086</c:v>
                </c:pt>
                <c:pt idx="6">
                  <c:v>3.1130965899084573</c:v>
                </c:pt>
                <c:pt idx="7">
                  <c:v>3.5136697515846422</c:v>
                </c:pt>
                <c:pt idx="8">
                  <c:v>3.9151785363707794</c:v>
                </c:pt>
                <c:pt idx="9">
                  <c:v>4.3176238420087989</c:v>
                </c:pt>
                <c:pt idx="10">
                  <c:v>4.7210065934324463</c:v>
                </c:pt>
                <c:pt idx="11">
                  <c:v>5.1253277428070501</c:v>
                </c:pt>
                <c:pt idx="12">
                  <c:v>5.5704999322979383</c:v>
                </c:pt>
                <c:pt idx="13">
                  <c:v>6.0391713395030688</c:v>
                </c:pt>
                <c:pt idx="14">
                  <c:v>6.5087926150426689</c:v>
                </c:pt>
                <c:pt idx="15">
                  <c:v>6.9793657335757642</c:v>
                </c:pt>
                <c:pt idx="16">
                  <c:v>7.4508926974526197</c:v>
                </c:pt>
                <c:pt idx="17">
                  <c:v>7.9233755368108536</c:v>
                </c:pt>
                <c:pt idx="18">
                  <c:v>8.3968163096736017</c:v>
                </c:pt>
                <c:pt idx="19">
                  <c:v>8.8712171020497088</c:v>
                </c:pt>
                <c:pt idx="20">
                  <c:v>9.3465800280359481</c:v>
                </c:pt>
                <c:pt idx="21">
                  <c:v>9.8229072299213023</c:v>
                </c:pt>
                <c:pt idx="22">
                  <c:v>10.300200878293341</c:v>
                </c:pt>
                <c:pt idx="23">
                  <c:v>10.77846317214661</c:v>
                </c:pt>
                <c:pt idx="24">
                  <c:v>11.257696338993178</c:v>
                </c:pt>
                <c:pt idx="25">
                  <c:v>11.737902634975232</c:v>
                </c:pt>
                <c:pt idx="26">
                  <c:v>12.219084344979811</c:v>
                </c:pt>
                <c:pt idx="27">
                  <c:v>12.701243782755641</c:v>
                </c:pt>
                <c:pt idx="28">
                  <c:v>13.184383291032146</c:v>
                </c:pt>
                <c:pt idx="29">
                  <c:v>13.668505241640553</c:v>
                </c:pt>
                <c:pt idx="30">
                  <c:v>14.153612035637209</c:v>
                </c:pt>
                <c:pt idx="31">
                  <c:v>14.639706103429047</c:v>
                </c:pt>
                <c:pt idx="32">
                  <c:v>15.126789904901232</c:v>
                </c:pt>
                <c:pt idx="33">
                  <c:v>15.614865929547044</c:v>
                </c:pt>
                <c:pt idx="34">
                  <c:v>16.103936696599956</c:v>
                </c:pt>
                <c:pt idx="35">
                  <c:v>16.594004755167923</c:v>
                </c:pt>
                <c:pt idx="36">
                  <c:v>17.085072684369994</c:v>
                </c:pt>
                <c:pt idx="37">
                  <c:v>17.577143093475076</c:v>
                </c:pt>
                <c:pt idx="38">
                  <c:v>18.070218622043075</c:v>
                </c:pt>
                <c:pt idx="39">
                  <c:v>18.564301940068273</c:v>
                </c:pt>
                <c:pt idx="40">
                  <c:v>19.059395748125041</c:v>
                </c:pt>
                <c:pt idx="41">
                  <c:v>19.555502777515862</c:v>
                </c:pt>
                <c:pt idx="42">
                  <c:v>20.052625790421729</c:v>
                </c:pt>
                <c:pt idx="43">
                  <c:v>20.550767580054842</c:v>
                </c:pt>
                <c:pt idx="44">
                  <c:v>21.049930970813755</c:v>
                </c:pt>
                <c:pt idx="45">
                  <c:v>21.550118818440879</c:v>
                </c:pt>
                <c:pt idx="46">
                  <c:v>22.051334010182408</c:v>
                </c:pt>
                <c:pt idx="47">
                  <c:v>22.553579464950666</c:v>
                </c:pt>
                <c:pt idx="48">
                  <c:v>23.056858133488937</c:v>
                </c:pt>
                <c:pt idx="49">
                  <c:v>23.561172998538737</c:v>
                </c:pt>
                <c:pt idx="50">
                  <c:v>24.066527075009581</c:v>
                </c:pt>
                <c:pt idx="51">
                  <c:v>24.57292341015129</c:v>
                </c:pt>
                <c:pt idx="52">
                  <c:v>25.080365083728783</c:v>
                </c:pt>
                <c:pt idx="53">
                  <c:v>25.588855208199451</c:v>
                </c:pt>
                <c:pt idx="54">
                  <c:v>26.098396928893134</c:v>
                </c:pt>
                <c:pt idx="55">
                  <c:v>26.608993424194594</c:v>
                </c:pt>
                <c:pt idx="56">
                  <c:v>27.120647905728738</c:v>
                </c:pt>
                <c:pt idx="57">
                  <c:v>27.633363618548348</c:v>
                </c:pt>
                <c:pt idx="58">
                  <c:v>28.147143841324606</c:v>
                </c:pt>
                <c:pt idx="59">
                  <c:v>28.661991886540168</c:v>
                </c:pt>
                <c:pt idx="60">
                  <c:v>29.177911100685066</c:v>
                </c:pt>
                <c:pt idx="61">
                  <c:v>29.69490486445525</c:v>
                </c:pt>
                <c:pt idx="62">
                  <c:v>30.212976592953957</c:v>
                </c:pt>
                <c:pt idx="63">
                  <c:v>30.732129735895832</c:v>
                </c:pt>
                <c:pt idx="64">
                  <c:v>31.252367777813824</c:v>
                </c:pt>
                <c:pt idx="65">
                  <c:v>31.77369423826898</c:v>
                </c:pt>
                <c:pt idx="66">
                  <c:v>32.296112672063046</c:v>
                </c:pt>
                <c:pt idx="67">
                  <c:v>32.819626669453996</c:v>
                </c:pt>
                <c:pt idx="68">
                  <c:v>33.344239856374408</c:v>
                </c:pt>
                <c:pt idx="69">
                  <c:v>33.869955894652819</c:v>
                </c:pt>
                <c:pt idx="70">
                  <c:v>34.396778482238105</c:v>
                </c:pt>
                <c:pt idx="71">
                  <c:v>34.924711353426751</c:v>
                </c:pt>
                <c:pt idx="72">
                  <c:v>35.453758279093194</c:v>
                </c:pt>
                <c:pt idx="73">
                  <c:v>35.983923066923204</c:v>
                </c:pt>
                <c:pt idx="74">
                  <c:v>36.515209561650408</c:v>
                </c:pt>
                <c:pt idx="75">
                  <c:v>37.047621645295841</c:v>
                </c:pt>
                <c:pt idx="76">
                  <c:v>37.581163237410699</c:v>
                </c:pt>
                <c:pt idx="77">
                  <c:v>38.115838295322227</c:v>
                </c:pt>
                <c:pt idx="78">
                  <c:v>38.651650814382869</c:v>
                </c:pt>
                <c:pt idx="79">
                  <c:v>39.188604828222587</c:v>
                </c:pt>
                <c:pt idx="80">
                  <c:v>39.726704409004519</c:v>
                </c:pt>
                <c:pt idx="81">
                  <c:v>40.265953667683881</c:v>
                </c:pt>
                <c:pt idx="82">
                  <c:v>40.806356754270247</c:v>
                </c:pt>
                <c:pt idx="83">
                  <c:v>41.347917858093254</c:v>
                </c:pt>
                <c:pt idx="84">
                  <c:v>41.890641208071528</c:v>
                </c:pt>
                <c:pt idx="85">
                  <c:v>42.43453107298528</c:v>
                </c:pt>
                <c:pt idx="86">
                  <c:v>42.979591761752246</c:v>
                </c:pt>
                <c:pt idx="87">
                  <c:v>43.525827623707208</c:v>
                </c:pt>
                <c:pt idx="88">
                  <c:v>44.073243048884962</c:v>
                </c:pt>
                <c:pt idx="89">
                  <c:v>44.621842468307001</c:v>
                </c:pt>
                <c:pt idx="90">
                  <c:v>45.171630354271855</c:v>
                </c:pt>
                <c:pt idx="91">
                  <c:v>45.722611220648858</c:v>
                </c:pt>
                <c:pt idx="92">
                  <c:v>46.274789623175927</c:v>
                </c:pt>
                <c:pt idx="93">
                  <c:v>46.828170159760866</c:v>
                </c:pt>
                <c:pt idx="94">
                  <c:v>47.382757470786629</c:v>
                </c:pt>
                <c:pt idx="95">
                  <c:v>47.938556239420237</c:v>
                </c:pt>
                <c:pt idx="96">
                  <c:v>48.495571191925706</c:v>
                </c:pt>
                <c:pt idx="97">
                  <c:v>49.053807097980808</c:v>
                </c:pt>
                <c:pt idx="98">
                  <c:v>49.613268770997919</c:v>
                </c:pt>
                <c:pt idx="99">
                  <c:v>50.173961068448634</c:v>
                </c:pt>
                <c:pt idx="100">
                  <c:v>50.735888892192676</c:v>
                </c:pt>
              </c:numCache>
            </c:numRef>
          </c:yVal>
          <c:smooth val="0"/>
          <c:extLst>
            <c:ext xmlns:c16="http://schemas.microsoft.com/office/drawing/2014/chart" uri="{C3380CC4-5D6E-409C-BE32-E72D297353CC}">
              <c16:uniqueId val="{00000001-F506-44FF-8C40-0061493B9501}"/>
            </c:ext>
          </c:extLst>
        </c:ser>
        <c:dLbls>
          <c:showLegendKey val="0"/>
          <c:showVal val="0"/>
          <c:showCatName val="0"/>
          <c:showSerName val="0"/>
          <c:showPercent val="0"/>
          <c:showBubbleSize val="0"/>
        </c:dLbls>
        <c:axId val="152240896"/>
        <c:axId val="152242816"/>
      </c:scatterChart>
      <c:valAx>
        <c:axId val="15224089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2816"/>
        <c:crosses val="autoZero"/>
        <c:crossBetween val="midCat"/>
      </c:valAx>
      <c:valAx>
        <c:axId val="15224281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089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'Ch2 Efficiency Calculations'!$BC$8</c:f>
              <c:strCache>
                <c:ptCount val="1"/>
                <c:pt idx="0">
                  <c:v>Control MOSFET Loss</c:v>
                </c:pt>
              </c:strCache>
            </c:strRef>
          </c:tx>
          <c:spPr>
            <a:ln w="25400">
              <a:solidFill>
                <a:srgbClr val="000080"/>
              </a:solidFill>
              <a:prstDash val="dash"/>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Calculations'!$BC$9:$BC$109</c:f>
              <c:numCache>
                <c:formatCode>0.000</c:formatCode>
                <c:ptCount val="101"/>
                <c:pt idx="0">
                  <c:v>0.53756746787757392</c:v>
                </c:pt>
                <c:pt idx="1">
                  <c:v>0.58122314363220351</c:v>
                </c:pt>
                <c:pt idx="2">
                  <c:v>0.62272318061040988</c:v>
                </c:pt>
                <c:pt idx="3">
                  <c:v>0.6620677637079263</c:v>
                </c:pt>
                <c:pt idx="4">
                  <c:v>0.69925704201523786</c:v>
                </c:pt>
                <c:pt idx="5">
                  <c:v>0.73429112877459535</c:v>
                </c:pt>
                <c:pt idx="6">
                  <c:v>0.76717010133553687</c:v>
                </c:pt>
                <c:pt idx="7">
                  <c:v>0.79789400110892139</c:v>
                </c:pt>
                <c:pt idx="8">
                  <c:v>0.82646283351946059</c:v>
                </c:pt>
                <c:pt idx="9">
                  <c:v>0.85287656795674649</c:v>
                </c:pt>
                <c:pt idx="10">
                  <c:v>0.8771351377247687</c:v>
                </c:pt>
                <c:pt idx="11">
                  <c:v>0.89923843998991659</c:v>
                </c:pt>
                <c:pt idx="12">
                  <c:v>0.92205521348106412</c:v>
                </c:pt>
                <c:pt idx="13">
                  <c:v>0.94612109973623482</c:v>
                </c:pt>
                <c:pt idx="14">
                  <c:v>0.97020795919325864</c:v>
                </c:pt>
                <c:pt idx="15">
                  <c:v>0.99431586557073637</c:v>
                </c:pt>
                <c:pt idx="16">
                  <c:v>1.018444893008601</c:v>
                </c:pt>
                <c:pt idx="17">
                  <c:v>1.042595116070729</c:v>
                </c:pt>
                <c:pt idx="18">
                  <c:v>1.0667666097475728</c:v>
                </c:pt>
                <c:pt idx="19">
                  <c:v>1.0909594494588175</c:v>
                </c:pt>
                <c:pt idx="20">
                  <c:v>1.1151737110560558</c:v>
                </c:pt>
                <c:pt idx="21">
                  <c:v>1.1394094708254883</c:v>
                </c:pt>
                <c:pt idx="22">
                  <c:v>1.1636668054906454</c:v>
                </c:pt>
                <c:pt idx="23">
                  <c:v>1.1879457922151306</c:v>
                </c:pt>
                <c:pt idx="24">
                  <c:v>1.2122465086053884</c:v>
                </c:pt>
                <c:pt idx="25">
                  <c:v>1.2365690327134948</c:v>
                </c:pt>
                <c:pt idx="26">
                  <c:v>1.2609134430399691</c:v>
                </c:pt>
                <c:pt idx="27">
                  <c:v>1.2852798185366117</c:v>
                </c:pt>
                <c:pt idx="28">
                  <c:v>1.309668238609365</c:v>
                </c:pt>
                <c:pt idx="29">
                  <c:v>1.3340787831211978</c:v>
                </c:pt>
                <c:pt idx="30">
                  <c:v>1.3585115323950125</c:v>
                </c:pt>
                <c:pt idx="31">
                  <c:v>1.3829665672165796</c:v>
                </c:pt>
                <c:pt idx="32">
                  <c:v>1.4074439688374936</c:v>
                </c:pt>
                <c:pt idx="33">
                  <c:v>1.4319438189781561</c:v>
                </c:pt>
                <c:pt idx="34">
                  <c:v>1.4564661998307837</c:v>
                </c:pt>
                <c:pt idx="35">
                  <c:v>1.4810111940624373</c:v>
                </c:pt>
                <c:pt idx="36">
                  <c:v>1.5055788848180836</c:v>
                </c:pt>
                <c:pt idx="37">
                  <c:v>1.5301693557236766</c:v>
                </c:pt>
                <c:pt idx="38">
                  <c:v>1.5547826908892677</c:v>
                </c:pt>
                <c:pt idx="39">
                  <c:v>1.5794189749121403</c:v>
                </c:pt>
                <c:pt idx="40">
                  <c:v>1.6040782928799744</c:v>
                </c:pt>
                <c:pt idx="41">
                  <c:v>1.628760730374031</c:v>
                </c:pt>
                <c:pt idx="42">
                  <c:v>1.6534663734723734</c:v>
                </c:pt>
                <c:pt idx="43">
                  <c:v>1.6781953087531045</c:v>
                </c:pt>
                <c:pt idx="44">
                  <c:v>1.702947623297641</c:v>
                </c:pt>
                <c:pt idx="45">
                  <c:v>1.7277234046940093</c:v>
                </c:pt>
                <c:pt idx="46">
                  <c:v>1.7525227410401718</c:v>
                </c:pt>
                <c:pt idx="47">
                  <c:v>1.7773457209473804</c:v>
                </c:pt>
                <c:pt idx="48">
                  <c:v>1.8021924335435606</c:v>
                </c:pt>
                <c:pt idx="49">
                  <c:v>1.8270629684767212</c:v>
                </c:pt>
                <c:pt idx="50">
                  <c:v>1.8519574159183945</c:v>
                </c:pt>
                <c:pt idx="51">
                  <c:v>1.876875866567107</c:v>
                </c:pt>
                <c:pt idx="52">
                  <c:v>1.901818411651877</c:v>
                </c:pt>
                <c:pt idx="53">
                  <c:v>1.9267851429357443</c:v>
                </c:pt>
                <c:pt idx="54">
                  <c:v>1.95177615271933</c:v>
                </c:pt>
                <c:pt idx="55">
                  <c:v>1.9767915338444237</c:v>
                </c:pt>
                <c:pt idx="56">
                  <c:v>2.0018313796976059</c:v>
                </c:pt>
                <c:pt idx="57">
                  <c:v>2.0268957842138975</c:v>
                </c:pt>
                <c:pt idx="58">
                  <c:v>2.0519848418804427</c:v>
                </c:pt>
                <c:pt idx="59">
                  <c:v>2.0770986477402236</c:v>
                </c:pt>
                <c:pt idx="60">
                  <c:v>2.1022372973958046</c:v>
                </c:pt>
                <c:pt idx="61">
                  <c:v>2.1274008870131125</c:v>
                </c:pt>
                <c:pt idx="62">
                  <c:v>2.1525895133252444</c:v>
                </c:pt>
                <c:pt idx="63">
                  <c:v>2.1778032736363135</c:v>
                </c:pt>
                <c:pt idx="64">
                  <c:v>2.2030422658253253</c:v>
                </c:pt>
                <c:pt idx="65">
                  <c:v>2.228306588350085</c:v>
                </c:pt>
                <c:pt idx="66">
                  <c:v>2.2535963402511436</c:v>
                </c:pt>
                <c:pt idx="67">
                  <c:v>2.2789116211557778</c:v>
                </c:pt>
                <c:pt idx="68">
                  <c:v>2.3042525312819975</c:v>
                </c:pt>
                <c:pt idx="69">
                  <c:v>2.329619171442594</c:v>
                </c:pt>
                <c:pt idx="70">
                  <c:v>2.3550116430492274</c:v>
                </c:pt>
                <c:pt idx="71">
                  <c:v>2.3804300481165361</c:v>
                </c:pt>
                <c:pt idx="72">
                  <c:v>2.4058744892662984</c:v>
                </c:pt>
                <c:pt idx="73">
                  <c:v>2.431345069731615</c:v>
                </c:pt>
                <c:pt idx="74">
                  <c:v>2.45684189336114</c:v>
                </c:pt>
                <c:pt idx="75">
                  <c:v>2.4823650646233419</c:v>
                </c:pt>
                <c:pt idx="76">
                  <c:v>2.5079146886108061</c:v>
                </c:pt>
                <c:pt idx="77">
                  <c:v>2.533490871044568</c:v>
                </c:pt>
                <c:pt idx="78">
                  <c:v>2.5590937182784939</c:v>
                </c:pt>
                <c:pt idx="79">
                  <c:v>2.5847233373036937</c:v>
                </c:pt>
                <c:pt idx="80">
                  <c:v>2.6103798357529717</c:v>
                </c:pt>
                <c:pt idx="81">
                  <c:v>2.6360633219053229</c:v>
                </c:pt>
                <c:pt idx="82">
                  <c:v>2.6617739046904596</c:v>
                </c:pt>
                <c:pt idx="83">
                  <c:v>2.6875116936933887</c:v>
                </c:pt>
                <c:pt idx="84">
                  <c:v>2.7132767991590176</c:v>
                </c:pt>
                <c:pt idx="85">
                  <c:v>2.7390693319968107</c:v>
                </c:pt>
                <c:pt idx="86">
                  <c:v>2.7648894037854834</c:v>
                </c:pt>
                <c:pt idx="87">
                  <c:v>2.7907371267777346</c:v>
                </c:pt>
                <c:pt idx="88">
                  <c:v>2.8166126139050247</c:v>
                </c:pt>
                <c:pt idx="89">
                  <c:v>2.842515978782397</c:v>
                </c:pt>
                <c:pt idx="90">
                  <c:v>2.8684473357133391</c:v>
                </c:pt>
                <c:pt idx="91">
                  <c:v>2.8944067996946869</c:v>
                </c:pt>
                <c:pt idx="92">
                  <c:v>2.9203944864215763</c:v>
                </c:pt>
                <c:pt idx="93">
                  <c:v>2.9464105122924344</c:v>
                </c:pt>
                <c:pt idx="94">
                  <c:v>2.9724549944140195</c:v>
                </c:pt>
                <c:pt idx="95">
                  <c:v>2.9985280506065046</c:v>
                </c:pt>
                <c:pt idx="96">
                  <c:v>3.024629799408602</c:v>
                </c:pt>
                <c:pt idx="97">
                  <c:v>3.0507603600827413</c:v>
                </c:pt>
                <c:pt idx="98">
                  <c:v>3.0769198526202892</c:v>
                </c:pt>
                <c:pt idx="99">
                  <c:v>3.1031083977468183</c:v>
                </c:pt>
                <c:pt idx="100">
                  <c:v>3.1293261169274187</c:v>
                </c:pt>
              </c:numCache>
            </c:numRef>
          </c:yVal>
          <c:smooth val="0"/>
          <c:extLst>
            <c:ext xmlns:c16="http://schemas.microsoft.com/office/drawing/2014/chart" uri="{C3380CC4-5D6E-409C-BE32-E72D297353CC}">
              <c16:uniqueId val="{00000000-43BE-4445-8235-AC1A889A3262}"/>
            </c:ext>
          </c:extLst>
        </c:ser>
        <c:ser>
          <c:idx val="3"/>
          <c:order val="1"/>
          <c:tx>
            <c:strRef>
              <c:f>'Ch2 Efficiency Calculations'!$BD$8</c:f>
              <c:strCache>
                <c:ptCount val="1"/>
                <c:pt idx="0">
                  <c:v>SYNC MOSFET Loss</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Calculations'!$BD$9:$BD$109</c:f>
              <c:numCache>
                <c:formatCode>0.000</c:formatCode>
                <c:ptCount val="101"/>
                <c:pt idx="0">
                  <c:v>1.919102233340024E-2</c:v>
                </c:pt>
                <c:pt idx="1">
                  <c:v>2.9585147527344303E-2</c:v>
                </c:pt>
                <c:pt idx="2">
                  <c:v>4.0003767608330493E-2</c:v>
                </c:pt>
                <c:pt idx="3">
                  <c:v>5.0446901926777296E-2</c:v>
                </c:pt>
                <c:pt idx="4">
                  <c:v>6.0914570543486007E-2</c:v>
                </c:pt>
                <c:pt idx="5">
                  <c:v>7.1406794230376547E-2</c:v>
                </c:pt>
                <c:pt idx="6">
                  <c:v>8.1923594471275188E-2</c:v>
                </c:pt>
                <c:pt idx="7">
                  <c:v>9.2464993462753747E-2</c:v>
                </c:pt>
                <c:pt idx="8">
                  <c:v>0.10303101411502051</c:v>
                </c:pt>
                <c:pt idx="9">
                  <c:v>0.11362168005286313</c:v>
                </c:pt>
                <c:pt idx="10">
                  <c:v>0.12423701561664333</c:v>
                </c:pt>
                <c:pt idx="11">
                  <c:v>0.13487704586334343</c:v>
                </c:pt>
                <c:pt idx="12">
                  <c:v>0.14659210348152468</c:v>
                </c:pt>
                <c:pt idx="13">
                  <c:v>0.15892556156587023</c:v>
                </c:pt>
                <c:pt idx="14">
                  <c:v>0.1712840161853334</c:v>
                </c:pt>
                <c:pt idx="15">
                  <c:v>0.18366751930462538</c:v>
                </c:pt>
                <c:pt idx="16">
                  <c:v>0.19607612361717419</c:v>
                </c:pt>
                <c:pt idx="17">
                  <c:v>0.20850988254765404</c:v>
                </c:pt>
                <c:pt idx="18">
                  <c:v>0.22096885025456847</c:v>
                </c:pt>
                <c:pt idx="19">
                  <c:v>0.23345308163288708</c:v>
                </c:pt>
                <c:pt idx="20">
                  <c:v>0.24596263231673546</c:v>
                </c:pt>
                <c:pt idx="21">
                  <c:v>0.25849755868213953</c:v>
                </c:pt>
                <c:pt idx="22">
                  <c:v>0.27105791784982475</c:v>
                </c:pt>
                <c:pt idx="23">
                  <c:v>0.2836437676880687</c:v>
                </c:pt>
                <c:pt idx="24">
                  <c:v>0.29625516681560993</c:v>
                </c:pt>
                <c:pt idx="25">
                  <c:v>0.30889217460461138</c:v>
                </c:pt>
                <c:pt idx="26">
                  <c:v>0.32155485118367921</c:v>
                </c:pt>
                <c:pt idx="27">
                  <c:v>0.33424325744093791</c:v>
                </c:pt>
                <c:pt idx="28">
                  <c:v>0.34695745502716174</c:v>
                </c:pt>
                <c:pt idx="29">
                  <c:v>0.35969750635896192</c:v>
                </c:pt>
                <c:pt idx="30">
                  <c:v>0.37246347462203183</c:v>
                </c:pt>
                <c:pt idx="31">
                  <c:v>0.3852554237744486</c:v>
                </c:pt>
                <c:pt idx="32">
                  <c:v>0.39807341855003242</c:v>
                </c:pt>
                <c:pt idx="33">
                  <c:v>0.41091752446176433</c:v>
                </c:pt>
                <c:pt idx="34">
                  <c:v>0.42378780780526198</c:v>
                </c:pt>
                <c:pt idx="35">
                  <c:v>0.43668433566231379</c:v>
                </c:pt>
                <c:pt idx="36">
                  <c:v>0.44960717590447352</c:v>
                </c:pt>
                <c:pt idx="37">
                  <c:v>0.46255639719671249</c:v>
                </c:pt>
                <c:pt idx="38">
                  <c:v>0.47553206900113354</c:v>
                </c:pt>
                <c:pt idx="39">
                  <c:v>0.48853426158074398</c:v>
                </c:pt>
                <c:pt idx="40">
                  <c:v>0.5015630460032906</c:v>
                </c:pt>
                <c:pt idx="41">
                  <c:v>0.51461849414515426</c:v>
                </c:pt>
                <c:pt idx="42">
                  <c:v>0.52770067869530868</c:v>
                </c:pt>
                <c:pt idx="43">
                  <c:v>0.54080967315933792</c:v>
                </c:pt>
                <c:pt idx="44">
                  <c:v>0.5539455518635199</c:v>
                </c:pt>
                <c:pt idx="45">
                  <c:v>0.5671083899589705</c:v>
                </c:pt>
                <c:pt idx="46">
                  <c:v>0.58029826342585289</c:v>
                </c:pt>
                <c:pt idx="47">
                  <c:v>0.59351524907764908</c:v>
                </c:pt>
                <c:pt idx="48">
                  <c:v>0.60675942456549836</c:v>
                </c:pt>
                <c:pt idx="49">
                  <c:v>0.62003086838259835</c:v>
                </c:pt>
                <c:pt idx="50">
                  <c:v>0.63332965986867318</c:v>
                </c:pt>
                <c:pt idx="51">
                  <c:v>0.64665587921450762</c:v>
                </c:pt>
                <c:pt idx="52">
                  <c:v>0.66000960746654691</c:v>
                </c:pt>
                <c:pt idx="53">
                  <c:v>0.67339092653156452</c:v>
                </c:pt>
                <c:pt idx="54">
                  <c:v>0.68679991918139827</c:v>
                </c:pt>
                <c:pt idx="55">
                  <c:v>0.7002366690577525</c:v>
                </c:pt>
                <c:pt idx="56">
                  <c:v>0.71370126067707207</c:v>
                </c:pt>
                <c:pt idx="57">
                  <c:v>0.7271937794354828</c:v>
                </c:pt>
                <c:pt idx="58">
                  <c:v>0.74071431161380541</c:v>
                </c:pt>
                <c:pt idx="59">
                  <c:v>0.75426294438263597</c:v>
                </c:pt>
                <c:pt idx="60">
                  <c:v>0.76783976580750168</c:v>
                </c:pt>
                <c:pt idx="61">
                  <c:v>0.78144486485408549</c:v>
                </c:pt>
                <c:pt idx="62">
                  <c:v>0.79507833139352524</c:v>
                </c:pt>
                <c:pt idx="63">
                  <c:v>0.808740256207785</c:v>
                </c:pt>
                <c:pt idx="64">
                  <c:v>0.82243073099510067</c:v>
                </c:pt>
                <c:pt idx="65">
                  <c:v>0.83614984837549944</c:v>
                </c:pt>
                <c:pt idx="66">
                  <c:v>0.84989770189639602</c:v>
                </c:pt>
                <c:pt idx="67">
                  <c:v>0.86367438603826296</c:v>
                </c:pt>
                <c:pt idx="68">
                  <c:v>0.87747999622037909</c:v>
                </c:pt>
                <c:pt idx="69">
                  <c:v>0.89131462880665313</c:v>
                </c:pt>
                <c:pt idx="70">
                  <c:v>0.90517838111152915</c:v>
                </c:pt>
                <c:pt idx="71">
                  <c:v>0.91907135140596719</c:v>
                </c:pt>
                <c:pt idx="72">
                  <c:v>0.93299363892350506</c:v>
                </c:pt>
                <c:pt idx="73">
                  <c:v>0.94694534386640017</c:v>
                </c:pt>
                <c:pt idx="74">
                  <c:v>0.96092656741185289</c:v>
                </c:pt>
                <c:pt idx="75">
                  <c:v>0.97493741171831161</c:v>
                </c:pt>
                <c:pt idx="76">
                  <c:v>0.98897797993186054</c:v>
                </c:pt>
                <c:pt idx="77">
                  <c:v>1.0030483761926903</c:v>
                </c:pt>
                <c:pt idx="78">
                  <c:v>1.0171487056416544</c:v>
                </c:pt>
                <c:pt idx="79">
                  <c:v>1.0312790744269102</c:v>
                </c:pt>
                <c:pt idx="80">
                  <c:v>1.0454395897106452</c:v>
                </c:pt>
                <c:pt idx="81">
                  <c:v>1.0596303596758916</c:v>
                </c:pt>
                <c:pt idx="82">
                  <c:v>1.0738514935334276</c:v>
                </c:pt>
                <c:pt idx="83">
                  <c:v>1.0881031015287699</c:v>
                </c:pt>
                <c:pt idx="84">
                  <c:v>1.1023852949492507</c:v>
                </c:pt>
                <c:pt idx="85">
                  <c:v>1.1166981861311915</c:v>
                </c:pt>
                <c:pt idx="86">
                  <c:v>1.1310418884671645</c:v>
                </c:pt>
                <c:pt idx="87">
                  <c:v>1.1454165164133476</c:v>
                </c:pt>
                <c:pt idx="88">
                  <c:v>1.1598221854969726</c:v>
                </c:pt>
                <c:pt idx="89">
                  <c:v>1.1742590123238685</c:v>
                </c:pt>
                <c:pt idx="90">
                  <c:v>1.1887271145861014</c:v>
                </c:pt>
                <c:pt idx="91">
                  <c:v>1.2032266110697067</c:v>
                </c:pt>
                <c:pt idx="92">
                  <c:v>1.2177576216625243</c:v>
                </c:pt>
                <c:pt idx="93">
                  <c:v>1.2323202673621281</c:v>
                </c:pt>
                <c:pt idx="94">
                  <c:v>1.2469146702838587</c:v>
                </c:pt>
                <c:pt idx="95">
                  <c:v>1.2615409536689537</c:v>
                </c:pt>
                <c:pt idx="96">
                  <c:v>1.2761992418927817</c:v>
                </c:pt>
                <c:pt idx="97">
                  <c:v>1.2908896604731792</c:v>
                </c:pt>
                <c:pt idx="98">
                  <c:v>1.3056123360788927</c:v>
                </c:pt>
                <c:pt idx="99">
                  <c:v>1.320367396538122</c:v>
                </c:pt>
                <c:pt idx="100">
                  <c:v>1.3351549708471757</c:v>
                </c:pt>
              </c:numCache>
            </c:numRef>
          </c:yVal>
          <c:smooth val="0"/>
          <c:extLst>
            <c:ext xmlns:c16="http://schemas.microsoft.com/office/drawing/2014/chart" uri="{C3380CC4-5D6E-409C-BE32-E72D297353CC}">
              <c16:uniqueId val="{00000001-43BE-4445-8235-AC1A889A3262}"/>
            </c:ext>
          </c:extLst>
        </c:ser>
        <c:ser>
          <c:idx val="0"/>
          <c:order val="2"/>
          <c:tx>
            <c:v>Inductor Loss</c:v>
          </c:tx>
          <c:spPr>
            <a:ln w="31750">
              <a:solidFill>
                <a:srgbClr val="FF6600"/>
              </a:solidFill>
              <a:prstDash val="lgDash"/>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Calculations'!$U$9:$U$109</c:f>
              <c:numCache>
                <c:formatCode>0.000</c:formatCode>
                <c:ptCount val="101"/>
                <c:pt idx="0">
                  <c:v>0.30252784112123576</c:v>
                </c:pt>
                <c:pt idx="1">
                  <c:v>0.30258775846038882</c:v>
                </c:pt>
                <c:pt idx="2">
                  <c:v>0.30276569096188116</c:v>
                </c:pt>
                <c:pt idx="3">
                  <c:v>0.30306164846694023</c:v>
                </c:pt>
                <c:pt idx="4">
                  <c:v>0.30347564734559968</c:v>
                </c:pt>
                <c:pt idx="5">
                  <c:v>0.30400771049896341</c:v>
                </c:pt>
                <c:pt idx="6">
                  <c:v>0.30465786736237227</c:v>
                </c:pt>
                <c:pt idx="7">
                  <c:v>0.30542615390947647</c:v>
                </c:pt>
                <c:pt idx="8">
                  <c:v>0.30631261265721221</c:v>
                </c:pt>
                <c:pt idx="9">
                  <c:v>0.307317292671686</c:v>
                </c:pt>
                <c:pt idx="10">
                  <c:v>0.30844024957496646</c:v>
                </c:pt>
                <c:pt idx="11">
                  <c:v>0.30968154555278643</c:v>
                </c:pt>
                <c:pt idx="12">
                  <c:v>0.31104124936315741</c:v>
                </c:pt>
                <c:pt idx="13">
                  <c:v>0.31251943634589752</c:v>
                </c:pt>
                <c:pt idx="14">
                  <c:v>0.31411618843307648</c:v>
                </c:pt>
                <c:pt idx="15">
                  <c:v>0.31583159416038009</c:v>
                </c:pt>
                <c:pt idx="16">
                  <c:v>0.31766574867939701</c:v>
                </c:pt>
                <c:pt idx="17">
                  <c:v>0.31961875377083077</c:v>
                </c:pt>
                <c:pt idx="18">
                  <c:v>0.32169071785864101</c:v>
                </c:pt>
                <c:pt idx="19">
                  <c:v>0.32388175602511715</c:v>
                </c:pt>
                <c:pt idx="20">
                  <c:v>0.32619199002688898</c:v>
                </c:pt>
                <c:pt idx="21">
                  <c:v>0.32862154831187718</c:v>
                </c:pt>
                <c:pt idx="22">
                  <c:v>0.33117056603718997</c:v>
                </c:pt>
                <c:pt idx="23">
                  <c:v>0.33383918508796856</c:v>
                </c:pt>
                <c:pt idx="24">
                  <c:v>0.33662755409718809</c:v>
                </c:pt>
                <c:pt idx="25">
                  <c:v>0.33953582846641783</c:v>
                </c:pt>
                <c:pt idx="26">
                  <c:v>0.34256417038754711</c:v>
                </c:pt>
                <c:pt idx="27">
                  <c:v>0.34571274886548214</c:v>
                </c:pt>
                <c:pt idx="28">
                  <c:v>0.34898173974181934</c:v>
                </c:pt>
                <c:pt idx="29">
                  <c:v>0.35237132571950275</c:v>
                </c:pt>
                <c:pt idx="30">
                  <c:v>0.35588169638847006</c:v>
                </c:pt>
                <c:pt idx="31">
                  <c:v>0.35951304825229574</c:v>
                </c:pt>
                <c:pt idx="32">
                  <c:v>0.36326558475583726</c:v>
                </c:pt>
                <c:pt idx="33">
                  <c:v>0.36713951631389202</c:v>
                </c:pt>
                <c:pt idx="34">
                  <c:v>0.37113506034087279</c:v>
                </c:pt>
                <c:pt idx="35">
                  <c:v>0.37525244128150903</c:v>
                </c:pt>
                <c:pt idx="36">
                  <c:v>0.3794918906425826</c:v>
                </c:pt>
                <c:pt idx="37">
                  <c:v>0.38385364702570623</c:v>
                </c:pt>
                <c:pt idx="38">
                  <c:v>0.38833795616115352</c:v>
                </c:pt>
                <c:pt idx="39">
                  <c:v>0.39294507094274905</c:v>
                </c:pt>
                <c:pt idx="40">
                  <c:v>0.39767525146382904</c:v>
                </c:pt>
                <c:pt idx="41">
                  <c:v>0.40252876505427992</c:v>
                </c:pt>
                <c:pt idx="42">
                  <c:v>0.40750588631866863</c:v>
                </c:pt>
                <c:pt idx="43">
                  <c:v>0.41260689717546972</c:v>
                </c:pt>
                <c:pt idx="44">
                  <c:v>0.4178320868974052</c:v>
                </c:pt>
                <c:pt idx="45">
                  <c:v>0.42318175215290321</c:v>
                </c:pt>
                <c:pt idx="46">
                  <c:v>0.42865619704869073</c:v>
                </c:pt>
                <c:pt idx="47">
                  <c:v>0.43425573317352884</c:v>
                </c:pt>
                <c:pt idx="48">
                  <c:v>0.43998067964310444</c:v>
                </c:pt>
                <c:pt idx="49">
                  <c:v>0.44583136314608923</c:v>
                </c:pt>
                <c:pt idx="50">
                  <c:v>0.45180811799137949</c:v>
                </c:pt>
                <c:pt idx="51">
                  <c:v>0.45791128615652943</c:v>
                </c:pt>
                <c:pt idx="52">
                  <c:v>0.46414121733739055</c:v>
                </c:pt>
                <c:pt idx="53">
                  <c:v>0.4704982689989719</c:v>
                </c:pt>
                <c:pt idx="54">
                  <c:v>0.47698280642753421</c:v>
                </c:pt>
                <c:pt idx="55">
                  <c:v>0.48359520278393303</c:v>
                </c:pt>
                <c:pt idx="56">
                  <c:v>0.49033583915822504</c:v>
                </c:pt>
                <c:pt idx="57">
                  <c:v>0.49720510462555306</c:v>
                </c:pt>
                <c:pt idx="58">
                  <c:v>0.50420339630332556</c:v>
                </c:pt>
                <c:pt idx="59">
                  <c:v>0.51133111940970577</c:v>
                </c:pt>
                <c:pt idx="60">
                  <c:v>0.51858868732342711</c:v>
                </c:pt>
                <c:pt idx="61">
                  <c:v>0.5259765216449529</c:v>
                </c:pt>
                <c:pt idx="62">
                  <c:v>0.53349505225899596</c:v>
                </c:pt>
                <c:pt idx="63">
                  <c:v>0.54114471739841585</c:v>
                </c:pt>
                <c:pt idx="64">
                  <c:v>0.54892596370951352</c:v>
                </c:pt>
                <c:pt idx="65">
                  <c:v>0.55683924631873938</c:v>
                </c:pt>
                <c:pt idx="66">
                  <c:v>0.56488502890083658</c:v>
                </c:pt>
                <c:pt idx="67">
                  <c:v>0.57306378374843592</c:v>
                </c:pt>
                <c:pt idx="68">
                  <c:v>0.58137599184312638</c:v>
                </c:pt>
                <c:pt idx="69">
                  <c:v>0.58982214292801582</c:v>
                </c:pt>
                <c:pt idx="70">
                  <c:v>0.59840273558180967</c:v>
                </c:pt>
                <c:pt idx="71">
                  <c:v>0.60711827729442369</c:v>
                </c:pt>
                <c:pt idx="72">
                  <c:v>0.61596928454415456</c:v>
                </c:pt>
                <c:pt idx="73">
                  <c:v>0.62495628287643235</c:v>
                </c:pt>
                <c:pt idx="74">
                  <c:v>0.63407980698417488</c:v>
                </c:pt>
                <c:pt idx="75">
                  <c:v>0.64334040078977017</c:v>
                </c:pt>
                <c:pt idx="76">
                  <c:v>0.65273861752870865</c:v>
                </c:pt>
                <c:pt idx="77">
                  <c:v>0.66227501983489356</c:v>
                </c:pt>
                <c:pt idx="78">
                  <c:v>0.67195017982764971</c:v>
                </c:pt>
                <c:pt idx="79">
                  <c:v>0.68176467920046124</c:v>
                </c:pt>
                <c:pt idx="80">
                  <c:v>0.69171910931146141</c:v>
                </c:pt>
                <c:pt idx="81">
                  <c:v>0.70181407127570483</c:v>
                </c:pt>
                <c:pt idx="82">
                  <c:v>0.71205017605924537</c:v>
                </c:pt>
                <c:pt idx="83">
                  <c:v>0.72242804457505327</c:v>
                </c:pt>
                <c:pt idx="84">
                  <c:v>0.73294830778079678</c:v>
                </c:pt>
                <c:pt idx="85">
                  <c:v>0.74361160677851867</c:v>
                </c:pt>
                <c:pt idx="86">
                  <c:v>0.75441859291624025</c:v>
                </c:pt>
                <c:pt idx="87">
                  <c:v>0.7653699278915217</c:v>
                </c:pt>
                <c:pt idx="88">
                  <c:v>0.77646628385701022</c:v>
                </c:pt>
                <c:pt idx="89">
                  <c:v>0.78770834352801145</c:v>
                </c:pt>
                <c:pt idx="90">
                  <c:v>0.79909680029211461</c:v>
                </c:pt>
                <c:pt idx="91">
                  <c:v>0.81063235832090696</c:v>
                </c:pt>
                <c:pt idx="92">
                  <c:v>0.82231573268381197</c:v>
                </c:pt>
                <c:pt idx="93">
                  <c:v>0.83414764946408726</c:v>
                </c:pt>
                <c:pt idx="94">
                  <c:v>0.84612884587701831</c:v>
                </c:pt>
                <c:pt idx="95">
                  <c:v>0.8582600703903478</c:v>
                </c:pt>
                <c:pt idx="96">
                  <c:v>0.87054208284697165</c:v>
                </c:pt>
                <c:pt idx="97">
                  <c:v>0.88297565458995231</c:v>
                </c:pt>
                <c:pt idx="98">
                  <c:v>0.89556156858988001</c:v>
                </c:pt>
                <c:pt idx="99">
                  <c:v>0.9083006195746246</c:v>
                </c:pt>
                <c:pt idx="100">
                  <c:v>0.92119361416152434</c:v>
                </c:pt>
              </c:numCache>
            </c:numRef>
          </c:yVal>
          <c:smooth val="0"/>
          <c:extLst>
            <c:ext xmlns:c16="http://schemas.microsoft.com/office/drawing/2014/chart" uri="{C3380CC4-5D6E-409C-BE32-E72D297353CC}">
              <c16:uniqueId val="{00000002-43BE-4445-8235-AC1A889A3262}"/>
            </c:ext>
          </c:extLst>
        </c:ser>
        <c:dLbls>
          <c:showLegendKey val="0"/>
          <c:showVal val="0"/>
          <c:showCatName val="0"/>
          <c:showSerName val="0"/>
          <c:showPercent val="0"/>
          <c:showBubbleSize val="0"/>
        </c:dLbls>
        <c:axId val="152298240"/>
        <c:axId val="152300160"/>
      </c:scatterChart>
      <c:valAx>
        <c:axId val="15229824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300160"/>
        <c:crosses val="autoZero"/>
        <c:crossBetween val="midCat"/>
      </c:valAx>
      <c:valAx>
        <c:axId val="15230016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29824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Calculations'!$AV$9:$AV$109</c:f>
              <c:numCache>
                <c:formatCode>0.0%</c:formatCode>
                <c:ptCount val="101"/>
                <c:pt idx="0">
                  <c:v>0</c:v>
                </c:pt>
                <c:pt idx="1">
                  <c:v>0.23986633957584103</c:v>
                </c:pt>
                <c:pt idx="2">
                  <c:v>0.37674608837835977</c:v>
                </c:pt>
                <c:pt idx="3">
                  <c:v>0.46558291506896915</c:v>
                </c:pt>
                <c:pt idx="4">
                  <c:v>0.52813998197999534</c:v>
                </c:pt>
                <c:pt idx="5">
                  <c:v>0.57476164630408044</c:v>
                </c:pt>
                <c:pt idx="6">
                  <c:v>0.6109941312466145</c:v>
                </c:pt>
                <c:pt idx="7">
                  <c:v>0.64007842573195728</c:v>
                </c:pt>
                <c:pt idx="8">
                  <c:v>0.66403524364806643</c:v>
                </c:pt>
                <c:pt idx="9">
                  <c:v>0.68418993674890727</c:v>
                </c:pt>
                <c:pt idx="10">
                  <c:v>0.70144791636346393</c:v>
                </c:pt>
                <c:pt idx="11">
                  <c:v>0.71644877603247925</c:v>
                </c:pt>
                <c:pt idx="12">
                  <c:v>0.72922273455581976</c:v>
                </c:pt>
                <c:pt idx="13">
                  <c:v>0.74016966415906027</c:v>
                </c:pt>
                <c:pt idx="14">
                  <c:v>0.74978814427945861</c:v>
                </c:pt>
                <c:pt idx="15">
                  <c:v>0.75830039138847061</c:v>
                </c:pt>
                <c:pt idx="16">
                  <c:v>0.76588167890519954</c:v>
                </c:pt>
                <c:pt idx="17">
                  <c:v>0.77267211103993294</c:v>
                </c:pt>
                <c:pt idx="18">
                  <c:v>0.77878502228845714</c:v>
                </c:pt>
                <c:pt idx="19">
                  <c:v>0.78431307939983441</c:v>
                </c:pt>
                <c:pt idx="20">
                  <c:v>0.78933278703695742</c:v>
                </c:pt>
                <c:pt idx="21">
                  <c:v>0.79390786397774582</c:v>
                </c:pt>
                <c:pt idx="22">
                  <c:v>0.79809180692599158</c:v>
                </c:pt>
                <c:pt idx="23">
                  <c:v>0.80192986119783993</c:v>
                </c:pt>
                <c:pt idx="24">
                  <c:v>0.80546055242618009</c:v>
                </c:pt>
                <c:pt idx="25">
                  <c:v>0.80871688928258312</c:v>
                </c:pt>
                <c:pt idx="26">
                  <c:v>0.81172731680386923</c:v>
                </c:pt>
                <c:pt idx="27">
                  <c:v>0.81451647864129817</c:v>
                </c:pt>
                <c:pt idx="28">
                  <c:v>0.81710583146910909</c:v>
                </c:pt>
                <c:pt idx="29">
                  <c:v>0.81951414395805267</c:v>
                </c:pt>
                <c:pt idx="30">
                  <c:v>0.82175790484822653</c:v>
                </c:pt>
                <c:pt idx="31">
                  <c:v>0.82385165887172984</c:v>
                </c:pt>
                <c:pt idx="32">
                  <c:v>0.82580828498189551</c:v>
                </c:pt>
                <c:pt idx="33">
                  <c:v>0.82763922812745794</c:v>
                </c:pt>
                <c:pt idx="34">
                  <c:v>0.82935469337584222</c:v>
                </c:pt>
                <c:pt idx="35">
                  <c:v>0.83096380933309111</c:v>
                </c:pt>
                <c:pt idx="36">
                  <c:v>0.83247476638044471</c:v>
                </c:pt>
                <c:pt idx="37">
                  <c:v>0.83389493414179539</c:v>
                </c:pt>
                <c:pt idx="38">
                  <c:v>0.83523096173357203</c:v>
                </c:pt>
                <c:pt idx="39">
                  <c:v>0.83648886367107134</c:v>
                </c:pt>
                <c:pt idx="40">
                  <c:v>0.83767409376975377</c:v>
                </c:pt>
                <c:pt idx="41">
                  <c:v>0.83879160895420635</c:v>
                </c:pt>
                <c:pt idx="42">
                  <c:v>0.83984592454695206</c:v>
                </c:pt>
                <c:pt idx="43">
                  <c:v>0.84084116233547301</c:v>
                </c:pt>
                <c:pt idx="44">
                  <c:v>0.84178109249451982</c:v>
                </c:pt>
                <c:pt idx="45">
                  <c:v>0.84266917026101607</c:v>
                </c:pt>
                <c:pt idx="46">
                  <c:v>0.84350856811217967</c:v>
                </c:pt>
                <c:pt idx="47">
                  <c:v>0.84430220407722589</c:v>
                </c:pt>
                <c:pt idx="48">
                  <c:v>0.84505276671401053</c:v>
                </c:pt>
                <c:pt idx="49">
                  <c:v>0.84576273720012174</c:v>
                </c:pt>
                <c:pt idx="50">
                  <c:v>0.84643440891999944</c:v>
                </c:pt>
                <c:pt idx="51">
                  <c:v>0.847069904873055</c:v>
                </c:pt>
                <c:pt idx="52">
                  <c:v>0.84767119318045103</c:v>
                </c:pt>
                <c:pt idx="53">
                  <c:v>0.84824010092847835</c:v>
                </c:pt>
                <c:pt idx="54">
                  <c:v>0.84877832655304208</c:v>
                </c:pt>
                <c:pt idx="55">
                  <c:v>0.84928745094152613</c:v>
                </c:pt>
                <c:pt idx="56">
                  <c:v>0.8497689474043767</c:v>
                </c:pt>
                <c:pt idx="57">
                  <c:v>0.85022419064841404</c:v>
                </c:pt>
                <c:pt idx="58">
                  <c:v>0.85065446486655116</c:v>
                </c:pt>
                <c:pt idx="59">
                  <c:v>0.85106097104377998</c:v>
                </c:pt>
                <c:pt idx="60">
                  <c:v>0.85144483356659928</c:v>
                </c:pt>
                <c:pt idx="61">
                  <c:v>0.85180710621214528</c:v>
                </c:pt>
                <c:pt idx="62">
                  <c:v>0.85214877758389318</c:v>
                </c:pt>
                <c:pt idx="63">
                  <c:v>0.85247077605268273</c:v>
                </c:pt>
                <c:pt idx="64">
                  <c:v>0.85277397425480272</c:v>
                </c:pt>
                <c:pt idx="65">
                  <c:v>0.8530591931927709</c:v>
                </c:pt>
                <c:pt idx="66">
                  <c:v>0.85332720597915523</c:v>
                </c:pt>
                <c:pt idx="67">
                  <c:v>0.853578741259165</c:v>
                </c:pt>
                <c:pt idx="68">
                  <c:v>0.85381448634371071</c:v>
                </c:pt>
                <c:pt idx="69">
                  <c:v>0.8540350900811049</c:v>
                </c:pt>
                <c:pt idx="70">
                  <c:v>0.85424116549249096</c:v>
                </c:pt>
                <c:pt idx="71">
                  <c:v>0.85443329219336617</c:v>
                </c:pt>
                <c:pt idx="72">
                  <c:v>0.85461201862118163</c:v>
                </c:pt>
                <c:pt idx="73">
                  <c:v>0.8547778640868956</c:v>
                </c:pt>
                <c:pt idx="74">
                  <c:v>0.85493132066649702</c:v>
                </c:pt>
                <c:pt idx="75">
                  <c:v>0.85507285494687169</c:v>
                </c:pt>
                <c:pt idx="76">
                  <c:v>0.85520290963893097</c:v>
                </c:pt>
                <c:pt idx="77">
                  <c:v>0.85532190506962036</c:v>
                </c:pt>
                <c:pt idx="78">
                  <c:v>0.85543024056329064</c:v>
                </c:pt>
                <c:pt idx="79">
                  <c:v>0.85552829572187639</c:v>
                </c:pt>
                <c:pt idx="80">
                  <c:v>0.85561643161242817</c:v>
                </c:pt>
                <c:pt idx="81">
                  <c:v>0.85569499186971953</c:v>
                </c:pt>
                <c:pt idx="82">
                  <c:v>0.85576430372093182</c:v>
                </c:pt>
                <c:pt idx="83">
                  <c:v>0.85582467893876091</c:v>
                </c:pt>
                <c:pt idx="84">
                  <c:v>0.85587641472870923</c:v>
                </c:pt>
                <c:pt idx="85">
                  <c:v>0.85591979455580314</c:v>
                </c:pt>
                <c:pt idx="86">
                  <c:v>0.85595508891550209</c:v>
                </c:pt>
                <c:pt idx="87">
                  <c:v>0.85598255605314211</c:v>
                </c:pt>
                <c:pt idx="88">
                  <c:v>0.85600244263587655</c:v>
                </c:pt>
                <c:pt idx="89">
                  <c:v>0.85601498438072943</c:v>
                </c:pt>
                <c:pt idx="90">
                  <c:v>0.85602040664206602</c:v>
                </c:pt>
                <c:pt idx="91">
                  <c:v>0.85601892496150656</c:v>
                </c:pt>
                <c:pt idx="92">
                  <c:v>0.85601074558305013</c:v>
                </c:pt>
                <c:pt idx="93">
                  <c:v>0.85599606593594579</c:v>
                </c:pt>
                <c:pt idx="94">
                  <c:v>0.85597507508764292</c:v>
                </c:pt>
                <c:pt idx="95">
                  <c:v>0.85594795416895497</c:v>
                </c:pt>
                <c:pt idx="96">
                  <c:v>0.85591487677340516</c:v>
                </c:pt>
                <c:pt idx="97">
                  <c:v>0.85587600933256047</c:v>
                </c:pt>
                <c:pt idx="98">
                  <c:v>0.85583151146901892</c:v>
                </c:pt>
                <c:pt idx="99">
                  <c:v>0.85578153632858411</c:v>
                </c:pt>
                <c:pt idx="100">
                  <c:v>0.85572623089304345</c:v>
                </c:pt>
              </c:numCache>
            </c:numRef>
          </c:yVal>
          <c:smooth val="0"/>
          <c:extLst>
            <c:ext xmlns:c16="http://schemas.microsoft.com/office/drawing/2014/chart" uri="{C3380CC4-5D6E-409C-BE32-E72D297353CC}">
              <c16:uniqueId val="{00000000-D9E8-45F2-A795-7D30E126B9E6}"/>
            </c:ext>
          </c:extLst>
        </c:ser>
        <c:dLbls>
          <c:showLegendKey val="0"/>
          <c:showVal val="0"/>
          <c:showCatName val="0"/>
          <c:showSerName val="0"/>
          <c:showPercent val="0"/>
          <c:showBubbleSize val="0"/>
        </c:dLbls>
        <c:axId val="196013056"/>
        <c:axId val="196195456"/>
      </c:scatterChart>
      <c:valAx>
        <c:axId val="1960130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195456"/>
        <c:crosses val="autoZero"/>
        <c:crossBetween val="midCat"/>
      </c:valAx>
      <c:valAx>
        <c:axId val="1961954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0130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'Efficiency Calculations'!$AZ$9:$AZ$109</c:f>
              <c:numCache>
                <c:formatCode>0.00</c:formatCode>
                <c:ptCount val="101"/>
                <c:pt idx="0">
                  <c:v>0</c:v>
                </c:pt>
                <c:pt idx="1">
                  <c:v>9.6508451004115656</c:v>
                </c:pt>
                <c:pt idx="2">
                  <c:v>17.115731742437294</c:v>
                </c:pt>
                <c:pt idx="3">
                  <c:v>23.068281158662092</c:v>
                </c:pt>
                <c:pt idx="4">
                  <c:v>27.931149711010185</c:v>
                </c:pt>
                <c:pt idx="5">
                  <c:v>31.98294546366159</c:v>
                </c:pt>
                <c:pt idx="6">
                  <c:v>35.414777672223501</c:v>
                </c:pt>
                <c:pt idx="7">
                  <c:v>38.362105847883086</c:v>
                </c:pt>
                <c:pt idx="8">
                  <c:v>40.923621385420866</c:v>
                </c:pt>
                <c:pt idx="9">
                  <c:v>43.172930010980991</c:v>
                </c:pt>
                <c:pt idx="10">
                  <c:v>45.166046092349809</c:v>
                </c:pt>
                <c:pt idx="11">
                  <c:v>46.946351730458446</c:v>
                </c:pt>
                <c:pt idx="12">
                  <c:v>48.547967796672182</c:v>
                </c:pt>
                <c:pt idx="13">
                  <c:v>49.99810015604821</c:v>
                </c:pt>
                <c:pt idx="14">
                  <c:v>51.318707022337392</c:v>
                </c:pt>
                <c:pt idx="15">
                  <c:v>52.527706066946855</c:v>
                </c:pt>
                <c:pt idx="16">
                  <c:v>53.639862980228337</c:v>
                </c:pt>
                <c:pt idx="17">
                  <c:v>54.667455426299306</c:v>
                </c:pt>
                <c:pt idx="18">
                  <c:v>55.620775951174174</c:v>
                </c:pt>
                <c:pt idx="19">
                  <c:v>56.508517646884613</c:v>
                </c:pt>
                <c:pt idx="20">
                  <c:v>57.338073267777204</c:v>
                </c:pt>
                <c:pt idx="21">
                  <c:v>58.115769641512685</c:v>
                </c:pt>
                <c:pt idx="22">
                  <c:v>58.847053136511441</c:v>
                </c:pt>
                <c:pt idx="23">
                  <c:v>59.536637707211085</c:v>
                </c:pt>
                <c:pt idx="24">
                  <c:v>60.188624039755233</c:v>
                </c:pt>
                <c:pt idx="25">
                  <c:v>60.789005450662579</c:v>
                </c:pt>
                <c:pt idx="26">
                  <c:v>61.340462332398907</c:v>
                </c:pt>
                <c:pt idx="27">
                  <c:v>61.859430035623532</c:v>
                </c:pt>
                <c:pt idx="28">
                  <c:v>62.348629534998004</c:v>
                </c:pt>
                <c:pt idx="29">
                  <c:v>62.81048623316893</c:v>
                </c:pt>
                <c:pt idx="30">
                  <c:v>63.247169033334124</c:v>
                </c:pt>
                <c:pt idx="31">
                  <c:v>63.66062337331234</c:v>
                </c:pt>
                <c:pt idx="32">
                  <c:v>64.052599282537898</c:v>
                </c:pt>
                <c:pt idx="33">
                  <c:v>64.424675315399043</c:v>
                </c:pt>
                <c:pt idx="34">
                  <c:v>64.778279051096789</c:v>
                </c:pt>
                <c:pt idx="35">
                  <c:v>65.114704721267231</c:v>
                </c:pt>
                <c:pt idx="36">
                  <c:v>65.4351284241542</c:v>
                </c:pt>
                <c:pt idx="37">
                  <c:v>65.740621302236505</c:v>
                </c:pt>
                <c:pt idx="38">
                  <c:v>66.032160994412948</c:v>
                </c:pt>
                <c:pt idx="39">
                  <c:v>66.310641620694312</c:v>
                </c:pt>
                <c:pt idx="40">
                  <c:v>66.576882514201856</c:v>
                </c:pt>
                <c:pt idx="41">
                  <c:v>66.831635880075709</c:v>
                </c:pt>
                <c:pt idx="42">
                  <c:v>67.075593532057638</c:v>
                </c:pt>
                <c:pt idx="43">
                  <c:v>67.309392833782326</c:v>
                </c:pt>
                <c:pt idx="44">
                  <c:v>67.533621952199269</c:v>
                </c:pt>
                <c:pt idx="45">
                  <c:v>67.748824514280784</c:v>
                </c:pt>
                <c:pt idx="46">
                  <c:v>67.955503744620515</c:v>
                </c:pt>
                <c:pt idx="47">
                  <c:v>68.154126150204434</c:v>
                </c:pt>
                <c:pt idx="48">
                  <c:v>68.345124809136351</c:v>
                </c:pt>
                <c:pt idx="49">
                  <c:v>68.528902312106368</c:v>
                </c:pt>
                <c:pt idx="50">
                  <c:v>68.705833398640451</c:v>
                </c:pt>
                <c:pt idx="51">
                  <c:v>68.876267324452385</c:v>
                </c:pt>
                <c:pt idx="52">
                  <c:v>69.040529991361808</c:v>
                </c:pt>
                <c:pt idx="53">
                  <c:v>69.198925867104094</c:v>
                </c:pt>
                <c:pt idx="54">
                  <c:v>69.351739718821776</c:v>
                </c:pt>
                <c:pt idx="55">
                  <c:v>69.499238180997523</c:v>
                </c:pt>
                <c:pt idx="56">
                  <c:v>69.641671175986758</c:v>
                </c:pt>
                <c:pt idx="57">
                  <c:v>69.77927320306722</c:v>
                </c:pt>
                <c:pt idx="58">
                  <c:v>69.912264509987835</c:v>
                </c:pt>
                <c:pt idx="59">
                  <c:v>70.040852159325624</c:v>
                </c:pt>
                <c:pt idx="60">
                  <c:v>70.165231000507262</c:v>
                </c:pt>
                <c:pt idx="61">
                  <c:v>70.285584557090388</c:v>
                </c:pt>
                <c:pt idx="62">
                  <c:v>70.40208583779976</c:v>
                </c:pt>
                <c:pt idx="63">
                  <c:v>70.514898078854443</c:v>
                </c:pt>
                <c:pt idx="64">
                  <c:v>70.624175424282171</c:v>
                </c:pt>
                <c:pt idx="65">
                  <c:v>70.730063550182109</c:v>
                </c:pt>
                <c:pt idx="66">
                  <c:v>70.832700238250425</c:v>
                </c:pt>
                <c:pt idx="67">
                  <c:v>70.932215903315694</c:v>
                </c:pt>
                <c:pt idx="68">
                  <c:v>71.028734079129791</c:v>
                </c:pt>
                <c:pt idx="69">
                  <c:v>71.122371866217918</c:v>
                </c:pt>
                <c:pt idx="70">
                  <c:v>71.213240345200418</c:v>
                </c:pt>
                <c:pt idx="71">
                  <c:v>71.30144495865278</c:v>
                </c:pt>
                <c:pt idx="72">
                  <c:v>71.387085864262843</c:v>
                </c:pt>
                <c:pt idx="73">
                  <c:v>71.470258261770994</c:v>
                </c:pt>
                <c:pt idx="74">
                  <c:v>71.551052695936207</c:v>
                </c:pt>
                <c:pt idx="75">
                  <c:v>71.629555337554407</c:v>
                </c:pt>
                <c:pt idx="76">
                  <c:v>71.705848244361675</c:v>
                </c:pt>
                <c:pt idx="77">
                  <c:v>71.780009603482398</c:v>
                </c:pt>
                <c:pt idx="78">
                  <c:v>71.852113956927724</c:v>
                </c:pt>
                <c:pt idx="79">
                  <c:v>71.922232411510649</c:v>
                </c:pt>
                <c:pt idx="80">
                  <c:v>71.990432834420062</c:v>
                </c:pt>
                <c:pt idx="81">
                  <c:v>72.056780035583614</c:v>
                </c:pt>
                <c:pt idx="82">
                  <c:v>72.121335937849338</c:v>
                </c:pt>
                <c:pt idx="83">
                  <c:v>72.184159735924581</c:v>
                </c:pt>
                <c:pt idx="84">
                  <c:v>72.245308044929402</c:v>
                </c:pt>
                <c:pt idx="85">
                  <c:v>72.304835039347708</c:v>
                </c:pt>
                <c:pt idx="86">
                  <c:v>72.362792583092357</c:v>
                </c:pt>
                <c:pt idx="87">
                  <c:v>72.41923035134046</c:v>
                </c:pt>
                <c:pt idx="88">
                  <c:v>72.474195944739748</c:v>
                </c:pt>
                <c:pt idx="89">
                  <c:v>72.527734996537959</c:v>
                </c:pt>
                <c:pt idx="90">
                  <c:v>72.579891273141158</c:v>
                </c:pt>
                <c:pt idx="91">
                  <c:v>72.630706768567023</c:v>
                </c:pt>
                <c:pt idx="92">
                  <c:v>72.680221793220596</c:v>
                </c:pt>
                <c:pt idx="93">
                  <c:v>72.728475057387129</c:v>
                </c:pt>
                <c:pt idx="94">
                  <c:v>72.77550374980521</c:v>
                </c:pt>
                <c:pt idx="95">
                  <c:v>72.821343611654513</c:v>
                </c:pt>
                <c:pt idx="96">
                  <c:v>72.866029006268263</c:v>
                </c:pt>
                <c:pt idx="97">
                  <c:v>72.909592984854953</c:v>
                </c:pt>
                <c:pt idx="98">
                  <c:v>72.952067348494126</c:v>
                </c:pt>
                <c:pt idx="99">
                  <c:v>72.993482706649644</c:v>
                </c:pt>
                <c:pt idx="100">
                  <c:v>73.033868532427235</c:v>
                </c:pt>
              </c:numCache>
            </c:numRef>
          </c:val>
          <c:smooth val="0"/>
          <c:extLst>
            <c:ext xmlns:c16="http://schemas.microsoft.com/office/drawing/2014/chart" uri="{C3380CC4-5D6E-409C-BE32-E72D297353CC}">
              <c16:uniqueId val="{00000000-C1B6-475C-810B-3C43E5BC6454}"/>
            </c:ext>
          </c:extLst>
        </c:ser>
        <c:dLbls>
          <c:showLegendKey val="0"/>
          <c:showVal val="0"/>
          <c:showCatName val="0"/>
          <c:showSerName val="0"/>
          <c:showPercent val="0"/>
          <c:showBubbleSize val="0"/>
        </c:dLbls>
        <c:marker val="1"/>
        <c:smooth val="0"/>
        <c:axId val="201996160"/>
        <c:axId val="202006528"/>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'Efficiency Calculations'!$BC$9:$BC$109</c:f>
              <c:numCache>
                <c:formatCode>0.000</c:formatCode>
                <c:ptCount val="101"/>
                <c:pt idx="0">
                  <c:v>0.51918799052081699</c:v>
                </c:pt>
                <c:pt idx="1">
                  <c:v>0.55085581109296644</c:v>
                </c:pt>
                <c:pt idx="2">
                  <c:v>0.58198549201012062</c:v>
                </c:pt>
                <c:pt idx="3">
                  <c:v>0.61257705793303696</c:v>
                </c:pt>
                <c:pt idx="4">
                  <c:v>0.64263053159112637</c:v>
                </c:pt>
                <c:pt idx="5">
                  <c:v>0.67214593378062504</c:v>
                </c:pt>
                <c:pt idx="6">
                  <c:v>0.70112328336275609</c:v>
                </c:pt>
                <c:pt idx="7">
                  <c:v>0.72956259726187012</c:v>
                </c:pt>
                <c:pt idx="8">
                  <c:v>0.75746389046356732</c:v>
                </c:pt>
                <c:pt idx="9">
                  <c:v>0.78482717601280549</c:v>
                </c:pt>
                <c:pt idx="10">
                  <c:v>0.81165246501198929</c:v>
                </c:pt>
                <c:pt idx="11">
                  <c:v>0.83793976661904002</c:v>
                </c:pt>
                <c:pt idx="12">
                  <c:v>0.86368908804545141</c:v>
                </c:pt>
                <c:pt idx="13">
                  <c:v>0.88890043455432488</c:v>
                </c:pt>
                <c:pt idx="14">
                  <c:v>0.91357380945838806</c:v>
                </c:pt>
                <c:pt idx="15">
                  <c:v>0.93770921411799635</c:v>
                </c:pt>
                <c:pt idx="16">
                  <c:v>0.96130664793911658</c:v>
                </c:pt>
                <c:pt idx="17">
                  <c:v>0.98436610837129102</c:v>
                </c:pt>
                <c:pt idx="18">
                  <c:v>1.0068875909055868</c:v>
                </c:pt>
                <c:pt idx="19">
                  <c:v>1.0288710890725239</c:v>
                </c:pt>
                <c:pt idx="20">
                  <c:v>1.0503165944399888</c:v>
                </c:pt>
                <c:pt idx="21">
                  <c:v>1.0712240966111255</c:v>
                </c:pt>
                <c:pt idx="22">
                  <c:v>1.0915935832222137</c:v>
                </c:pt>
                <c:pt idx="23">
                  <c:v>1.1114250399405263</c:v>
                </c:pt>
                <c:pt idx="24">
                  <c:v>1.1307184504621672</c:v>
                </c:pt>
                <c:pt idx="25">
                  <c:v>1.1505942295806322</c:v>
                </c:pt>
                <c:pt idx="26">
                  <c:v>1.1712727211357705</c:v>
                </c:pt>
                <c:pt idx="27">
                  <c:v>1.1919548192871081</c:v>
                </c:pt>
                <c:pt idx="28">
                  <c:v>1.2126405321959279</c:v>
                </c:pt>
                <c:pt idx="29">
                  <c:v>1.2333298680419031</c:v>
                </c:pt>
                <c:pt idx="30">
                  <c:v>1.2540228350231644</c:v>
                </c:pt>
                <c:pt idx="31">
                  <c:v>1.2747194413563621</c:v>
                </c:pt>
                <c:pt idx="32">
                  <c:v>1.2954196952767327</c:v>
                </c:pt>
                <c:pt idx="33">
                  <c:v>1.3161236050381637</c:v>
                </c:pt>
                <c:pt idx="34">
                  <c:v>1.3368311789132603</c:v>
                </c:pt>
                <c:pt idx="35">
                  <c:v>1.3575424251934076</c:v>
                </c:pt>
                <c:pt idx="36">
                  <c:v>1.3782573521888413</c:v>
                </c:pt>
                <c:pt idx="37">
                  <c:v>1.3989759682287095</c:v>
                </c:pt>
                <c:pt idx="38">
                  <c:v>1.4196982816611423</c:v>
                </c:pt>
                <c:pt idx="39">
                  <c:v>1.4404243008533166</c:v>
                </c:pt>
                <c:pt idx="40">
                  <c:v>1.4611540341915248</c:v>
                </c:pt>
                <c:pt idx="41">
                  <c:v>1.4818874900812387</c:v>
                </c:pt>
                <c:pt idx="42">
                  <c:v>1.5026246769471818</c:v>
                </c:pt>
                <c:pt idx="43">
                  <c:v>1.5233656032333918</c:v>
                </c:pt>
                <c:pt idx="44">
                  <c:v>1.5441102774032924</c:v>
                </c:pt>
                <c:pt idx="45">
                  <c:v>1.5648587079397593</c:v>
                </c:pt>
                <c:pt idx="46">
                  <c:v>1.5856109033451897</c:v>
                </c:pt>
                <c:pt idx="47">
                  <c:v>1.6063668721415703</c:v>
                </c:pt>
                <c:pt idx="48">
                  <c:v>1.6271266228705463</c:v>
                </c:pt>
                <c:pt idx="49">
                  <c:v>1.6478901640934915</c:v>
                </c:pt>
                <c:pt idx="50">
                  <c:v>1.6686575043915761</c:v>
                </c:pt>
                <c:pt idx="51">
                  <c:v>1.6894286523658377</c:v>
                </c:pt>
                <c:pt idx="52">
                  <c:v>1.7102036166372514</c:v>
                </c:pt>
                <c:pt idx="53">
                  <c:v>1.7309824058467977</c:v>
                </c:pt>
                <c:pt idx="54">
                  <c:v>1.7517650286555364</c:v>
                </c:pt>
                <c:pt idx="55">
                  <c:v>1.7725514937446749</c:v>
                </c:pt>
                <c:pt idx="56">
                  <c:v>1.7933418098156404</c:v>
                </c:pt>
                <c:pt idx="57">
                  <c:v>1.8141359855901495</c:v>
                </c:pt>
                <c:pt idx="58">
                  <c:v>1.8349340298102823</c:v>
                </c:pt>
                <c:pt idx="59">
                  <c:v>1.8557359512385521</c:v>
                </c:pt>
                <c:pt idx="60">
                  <c:v>1.8765417586579782</c:v>
                </c:pt>
                <c:pt idx="61">
                  <c:v>1.8973514608721582</c:v>
                </c:pt>
                <c:pt idx="62">
                  <c:v>1.9181650667053405</c:v>
                </c:pt>
                <c:pt idx="63">
                  <c:v>1.9389825850024973</c:v>
                </c:pt>
                <c:pt idx="64">
                  <c:v>1.959804024629398</c:v>
                </c:pt>
                <c:pt idx="65">
                  <c:v>1.9806293944726816</c:v>
                </c:pt>
                <c:pt idx="66">
                  <c:v>2.0014587034399325</c:v>
                </c:pt>
                <c:pt idx="67">
                  <c:v>2.0222919604597518</c:v>
                </c:pt>
                <c:pt idx="68">
                  <c:v>2.0431291744818334</c:v>
                </c:pt>
                <c:pt idx="69">
                  <c:v>2.0639703544770374</c:v>
                </c:pt>
                <c:pt idx="70">
                  <c:v>2.0848155094374667</c:v>
                </c:pt>
                <c:pt idx="71">
                  <c:v>2.10566464837654</c:v>
                </c:pt>
                <c:pt idx="72">
                  <c:v>2.1265177803290696</c:v>
                </c:pt>
                <c:pt idx="73">
                  <c:v>2.1473749143513325</c:v>
                </c:pt>
                <c:pt idx="74">
                  <c:v>2.1682360595211523</c:v>
                </c:pt>
                <c:pt idx="75">
                  <c:v>2.1891012249379718</c:v>
                </c:pt>
                <c:pt idx="76">
                  <c:v>2.20997041972293</c:v>
                </c:pt>
                <c:pt idx="77">
                  <c:v>2.2308436530189399</c:v>
                </c:pt>
                <c:pt idx="78">
                  <c:v>2.2517209339907636</c:v>
                </c:pt>
                <c:pt idx="79">
                  <c:v>2.2726022718250931</c:v>
                </c:pt>
                <c:pt idx="80">
                  <c:v>2.2934876757306246</c:v>
                </c:pt>
                <c:pt idx="81">
                  <c:v>2.3143771549381382</c:v>
                </c:pt>
                <c:pt idx="82">
                  <c:v>2.3352707187005759</c:v>
                </c:pt>
                <c:pt idx="83">
                  <c:v>2.3561683762931214</c:v>
                </c:pt>
                <c:pt idx="84">
                  <c:v>2.3770701370132761</c:v>
                </c:pt>
                <c:pt idx="85">
                  <c:v>2.39797601018094</c:v>
                </c:pt>
                <c:pt idx="86">
                  <c:v>2.4188860051384937</c:v>
                </c:pt>
                <c:pt idx="87">
                  <c:v>2.4398001312508732</c:v>
                </c:pt>
                <c:pt idx="88">
                  <c:v>2.4607183979056542</c:v>
                </c:pt>
                <c:pt idx="89">
                  <c:v>2.481640814513129</c:v>
                </c:pt>
                <c:pt idx="90">
                  <c:v>2.5025673905063925</c:v>
                </c:pt>
                <c:pt idx="91">
                  <c:v>2.5234981353414163</c:v>
                </c:pt>
                <c:pt idx="92">
                  <c:v>2.5444330584971362</c:v>
                </c:pt>
                <c:pt idx="93">
                  <c:v>2.5653721694755296</c:v>
                </c:pt>
                <c:pt idx="94">
                  <c:v>2.5863154778017017</c:v>
                </c:pt>
                <c:pt idx="95">
                  <c:v>2.6072629930239639</c:v>
                </c:pt>
                <c:pt idx="96">
                  <c:v>2.6282147247139163</c:v>
                </c:pt>
                <c:pt idx="97">
                  <c:v>2.6491706824665355</c:v>
                </c:pt>
                <c:pt idx="98">
                  <c:v>2.6701308759002531</c:v>
                </c:pt>
                <c:pt idx="99">
                  <c:v>2.6910953146570402</c:v>
                </c:pt>
                <c:pt idx="100">
                  <c:v>2.7120640084024932</c:v>
                </c:pt>
              </c:numCache>
            </c:numRef>
          </c:val>
          <c:smooth val="0"/>
          <c:extLst>
            <c:ext xmlns:c16="http://schemas.microsoft.com/office/drawing/2014/chart" uri="{C3380CC4-5D6E-409C-BE32-E72D297353CC}">
              <c16:uniqueId val="{00000001-C1B6-475C-810B-3C43E5BC6454}"/>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'Efficiency Calculations'!$BA$9:$BA$109</c:f>
              <c:numCache>
                <c:formatCode>0.000</c:formatCode>
                <c:ptCount val="101"/>
                <c:pt idx="0">
                  <c:v>0.30161891127610962</c:v>
                </c:pt>
                <c:pt idx="1">
                  <c:v>0.30162767168675886</c:v>
                </c:pt>
                <c:pt idx="2">
                  <c:v>0.30165282037075125</c:v>
                </c:pt>
                <c:pt idx="3">
                  <c:v>0.30169435752123158</c:v>
                </c:pt>
                <c:pt idx="4">
                  <c:v>0.30175228345722754</c:v>
                </c:pt>
                <c:pt idx="5">
                  <c:v>0.30182659862365602</c:v>
                </c:pt>
                <c:pt idx="6">
                  <c:v>0.30191730359133184</c:v>
                </c:pt>
                <c:pt idx="7">
                  <c:v>0.30202439905697837</c:v>
                </c:pt>
                <c:pt idx="8">
                  <c:v>0.30214788584324093</c:v>
                </c:pt>
                <c:pt idx="9">
                  <c:v>0.30228776489870296</c:v>
                </c:pt>
                <c:pt idx="10">
                  <c:v>0.30244403729790381</c:v>
                </c:pt>
                <c:pt idx="11">
                  <c:v>0.30261670424135956</c:v>
                </c:pt>
                <c:pt idx="12">
                  <c:v>0.30280576705558626</c:v>
                </c:pt>
                <c:pt idx="13">
                  <c:v>0.30301122719312501</c:v>
                </c:pt>
                <c:pt idx="14">
                  <c:v>0.30323308623257006</c:v>
                </c:pt>
                <c:pt idx="15">
                  <c:v>0.30347134587859931</c:v>
                </c:pt>
                <c:pt idx="16">
                  <c:v>0.30372600796200699</c:v>
                </c:pt>
                <c:pt idx="17">
                  <c:v>0.30399707443973834</c:v>
                </c:pt>
                <c:pt idx="18">
                  <c:v>0.30428454739492794</c:v>
                </c:pt>
                <c:pt idx="19">
                  <c:v>0.3045884290369395</c:v>
                </c:pt>
                <c:pt idx="20">
                  <c:v>0.30490872170140798</c:v>
                </c:pt>
                <c:pt idx="21">
                  <c:v>0.30524542785028491</c:v>
                </c:pt>
                <c:pt idx="22">
                  <c:v>0.30559855007188547</c:v>
                </c:pt>
                <c:pt idx="23">
                  <c:v>0.30596809108093848</c:v>
                </c:pt>
                <c:pt idx="24">
                  <c:v>0.30635405371863839</c:v>
                </c:pt>
                <c:pt idx="25">
                  <c:v>0.30675644095269972</c:v>
                </c:pt>
                <c:pt idx="26">
                  <c:v>0.3071752558774149</c:v>
                </c:pt>
                <c:pt idx="27">
                  <c:v>0.30761050171371279</c:v>
                </c:pt>
                <c:pt idx="28">
                  <c:v>0.3080621818092214</c:v>
                </c:pt>
                <c:pt idx="29">
                  <c:v>0.30853029963833201</c:v>
                </c:pt>
                <c:pt idx="30">
                  <c:v>0.30901485880226592</c:v>
                </c:pt>
                <c:pt idx="31">
                  <c:v>0.30951586302914408</c:v>
                </c:pt>
                <c:pt idx="32">
                  <c:v>0.31003331617405849</c:v>
                </c:pt>
                <c:pt idx="33">
                  <c:v>0.31056722221914657</c:v>
                </c:pt>
                <c:pt idx="34">
                  <c:v>0.31111758527366812</c:v>
                </c:pt>
                <c:pt idx="35">
                  <c:v>0.31168440957408383</c:v>
                </c:pt>
                <c:pt idx="36">
                  <c:v>0.31226769948413752</c:v>
                </c:pt>
                <c:pt idx="37">
                  <c:v>0.31286745949493988</c:v>
                </c:pt>
                <c:pt idx="38">
                  <c:v>0.31348369422505501</c:v>
                </c:pt>
                <c:pt idx="39">
                  <c:v>0.31411640842058952</c:v>
                </c:pt>
                <c:pt idx="40">
                  <c:v>0.31476560695528416</c:v>
                </c:pt>
                <c:pt idx="41">
                  <c:v>0.31543129483060739</c:v>
                </c:pt>
                <c:pt idx="42">
                  <c:v>0.31611347717585225</c:v>
                </c:pt>
                <c:pt idx="43">
                  <c:v>0.31681215924823525</c:v>
                </c:pt>
                <c:pt idx="44">
                  <c:v>0.31752734643299735</c:v>
                </c:pt>
                <c:pt idx="45">
                  <c:v>0.31825904424350865</c:v>
                </c:pt>
                <c:pt idx="46">
                  <c:v>0.31900725832137405</c:v>
                </c:pt>
                <c:pt idx="47">
                  <c:v>0.31977199443654292</c:v>
                </c:pt>
                <c:pt idx="48">
                  <c:v>0.32055325848741978</c:v>
                </c:pt>
                <c:pt idx="49">
                  <c:v>0.32135105650097884</c:v>
                </c:pt>
                <c:pt idx="50">
                  <c:v>0.32216539463288013</c:v>
                </c:pt>
                <c:pt idx="51">
                  <c:v>0.32299627916758877</c:v>
                </c:pt>
                <c:pt idx="52">
                  <c:v>0.32384371651849614</c:v>
                </c:pt>
                <c:pt idx="53">
                  <c:v>0.32470771322804409</c:v>
                </c:pt>
                <c:pt idx="54">
                  <c:v>0.32558827596785145</c:v>
                </c:pt>
                <c:pt idx="55">
                  <c:v>0.32648541153884314</c:v>
                </c:pt>
                <c:pt idx="56">
                  <c:v>0.32739912687138195</c:v>
                </c:pt>
                <c:pt idx="57">
                  <c:v>0.32832942902540246</c:v>
                </c:pt>
                <c:pt idx="58">
                  <c:v>0.32927632519054784</c:v>
                </c:pt>
                <c:pt idx="59">
                  <c:v>0.33023982268630919</c:v>
                </c:pt>
                <c:pt idx="60">
                  <c:v>0.33121992896216773</c:v>
                </c:pt>
                <c:pt idx="61">
                  <c:v>0.33221665159773839</c:v>
                </c:pt>
                <c:pt idx="62">
                  <c:v>0.3332299983029175</c:v>
                </c:pt>
                <c:pt idx="63">
                  <c:v>0.33425997691803211</c:v>
                </c:pt>
                <c:pt idx="64">
                  <c:v>0.33530659541399227</c:v>
                </c:pt>
                <c:pt idx="65">
                  <c:v>0.33636986189244544</c:v>
                </c:pt>
                <c:pt idx="66">
                  <c:v>0.33744978458593416</c:v>
                </c:pt>
                <c:pt idx="67">
                  <c:v>0.33854637185805564</c:v>
                </c:pt>
                <c:pt idx="68">
                  <c:v>0.33965963220362455</c:v>
                </c:pt>
                <c:pt idx="69">
                  <c:v>0.34078957424883816</c:v>
                </c:pt>
                <c:pt idx="70">
                  <c:v>0.34193620675144387</c:v>
                </c:pt>
                <c:pt idx="71">
                  <c:v>0.34309953860090975</c:v>
                </c:pt>
                <c:pt idx="72">
                  <c:v>0.34427957881859744</c:v>
                </c:pt>
                <c:pt idx="73">
                  <c:v>0.34547633655793786</c:v>
                </c:pt>
                <c:pt idx="74">
                  <c:v>0.34668982110460955</c:v>
                </c:pt>
                <c:pt idx="75">
                  <c:v>0.34792004187671954</c:v>
                </c:pt>
                <c:pt idx="76">
                  <c:v>0.3491670084249866</c:v>
                </c:pt>
                <c:pt idx="77">
                  <c:v>0.35043073043292805</c:v>
                </c:pt>
                <c:pt idx="78">
                  <c:v>0.35171121771704839</c:v>
                </c:pt>
                <c:pt idx="79">
                  <c:v>0.3530084802270308</c:v>
                </c:pt>
                <c:pt idx="80">
                  <c:v>0.3543225280459314</c:v>
                </c:pt>
                <c:pt idx="81">
                  <c:v>0.3556533713903765</c:v>
                </c:pt>
                <c:pt idx="82">
                  <c:v>0.35700102061076194</c:v>
                </c:pt>
                <c:pt idx="83">
                  <c:v>0.35836548619145547</c:v>
                </c:pt>
                <c:pt idx="84">
                  <c:v>0.35974677875100197</c:v>
                </c:pt>
                <c:pt idx="85">
                  <c:v>0.36114490904233115</c:v>
                </c:pt>
                <c:pt idx="86">
                  <c:v>0.36255988795296801</c:v>
                </c:pt>
                <c:pt idx="87">
                  <c:v>0.36399172650524608</c:v>
                </c:pt>
                <c:pt idx="88">
                  <c:v>0.36544043585652353</c:v>
                </c:pt>
                <c:pt idx="89">
                  <c:v>0.3669060272994018</c:v>
                </c:pt>
                <c:pt idx="90">
                  <c:v>0.36838851226194708</c:v>
                </c:pt>
                <c:pt idx="91">
                  <c:v>0.36988790230791452</c:v>
                </c:pt>
                <c:pt idx="92">
                  <c:v>0.37140420913697542</c:v>
                </c:pt>
                <c:pt idx="93">
                  <c:v>0.37293744458494693</c:v>
                </c:pt>
                <c:pt idx="94">
                  <c:v>0.37448762062402458</c:v>
                </c:pt>
                <c:pt idx="95">
                  <c:v>0.37605474936301797</c:v>
                </c:pt>
                <c:pt idx="96">
                  <c:v>0.3776388430475886</c:v>
                </c:pt>
                <c:pt idx="97">
                  <c:v>0.37923991406049101</c:v>
                </c:pt>
                <c:pt idx="98">
                  <c:v>0.380857974921817</c:v>
                </c:pt>
                <c:pt idx="99">
                  <c:v>0.38249303828924175</c:v>
                </c:pt>
                <c:pt idx="100">
                  <c:v>0.38414511695827369</c:v>
                </c:pt>
              </c:numCache>
            </c:numRef>
          </c:val>
          <c:smooth val="0"/>
          <c:extLst>
            <c:ext xmlns:c16="http://schemas.microsoft.com/office/drawing/2014/chart" uri="{C3380CC4-5D6E-409C-BE32-E72D297353CC}">
              <c16:uniqueId val="{00000002-C1B6-475C-810B-3C43E5BC6454}"/>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'Efficiency Calculations'!$BD$9:$BD$109</c:f>
              <c:numCache>
                <c:formatCode>0.000</c:formatCode>
                <c:ptCount val="101"/>
                <c:pt idx="0">
                  <c:v>2.0710925083526201E-2</c:v>
                </c:pt>
                <c:pt idx="1">
                  <c:v>3.0273105328994309E-2</c:v>
                </c:pt>
                <c:pt idx="2">
                  <c:v>3.9842051913902693E-2</c:v>
                </c:pt>
                <c:pt idx="3">
                  <c:v>4.9417766688109391E-2</c:v>
                </c:pt>
                <c:pt idx="4">
                  <c:v>5.9000251542756468E-2</c:v>
                </c:pt>
                <c:pt idx="5">
                  <c:v>6.8589508410282163E-2</c:v>
                </c:pt>
                <c:pt idx="6">
                  <c:v>7.8185539264433807E-2</c:v>
                </c:pt>
                <c:pt idx="7">
                  <c:v>8.7788346120281163E-2</c:v>
                </c:pt>
                <c:pt idx="8">
                  <c:v>9.7397931034230542E-2</c:v>
                </c:pt>
                <c:pt idx="9">
                  <c:v>0.10701429610403954</c:v>
                </c:pt>
                <c:pt idx="10">
                  <c:v>0.1166374434688324</c:v>
                </c:pt>
                <c:pt idx="11">
                  <c:v>0.12626737530911586</c:v>
                </c:pt>
                <c:pt idx="12">
                  <c:v>0.13590409384679591</c:v>
                </c:pt>
                <c:pt idx="13">
                  <c:v>0.14554760134519501</c:v>
                </c:pt>
                <c:pt idx="14">
                  <c:v>0.15519790010906975</c:v>
                </c:pt>
                <c:pt idx="15">
                  <c:v>0.16485499248462976</c:v>
                </c:pt>
                <c:pt idx="16">
                  <c:v>0.17451888085955647</c:v>
                </c:pt>
                <c:pt idx="17">
                  <c:v>0.18418956766302302</c:v>
                </c:pt>
                <c:pt idx="18">
                  <c:v>0.19386705536571475</c:v>
                </c:pt>
                <c:pt idx="19">
                  <c:v>0.20355134647985013</c:v>
                </c:pt>
                <c:pt idx="20">
                  <c:v>0.21324244355920247</c:v>
                </c:pt>
                <c:pt idx="21">
                  <c:v>0.22294034919912215</c:v>
                </c:pt>
                <c:pt idx="22">
                  <c:v>0.23264506603655979</c:v>
                </c:pt>
                <c:pt idx="23">
                  <c:v>0.24235659675008961</c:v>
                </c:pt>
                <c:pt idx="24">
                  <c:v>0.25207494405993358</c:v>
                </c:pt>
                <c:pt idx="25">
                  <c:v>0.26225011953209787</c:v>
                </c:pt>
                <c:pt idx="26">
                  <c:v>0.27280219016655055</c:v>
                </c:pt>
                <c:pt idx="27">
                  <c:v>0.28336113112064842</c:v>
                </c:pt>
                <c:pt idx="28">
                  <c:v>0.2939269478004371</c:v>
                </c:pt>
                <c:pt idx="29">
                  <c:v>0.30449964565393722</c:v>
                </c:pt>
                <c:pt idx="30">
                  <c:v>0.3150792301711991</c:v>
                </c:pt>
                <c:pt idx="31">
                  <c:v>0.32566570688435659</c:v>
                </c:pt>
                <c:pt idx="32">
                  <c:v>0.33625908136768218</c:v>
                </c:pt>
                <c:pt idx="33">
                  <c:v>0.34685935923764305</c:v>
                </c:pt>
                <c:pt idx="34">
                  <c:v>0.35746654615295742</c:v>
                </c:pt>
                <c:pt idx="35">
                  <c:v>0.36808064781465094</c:v>
                </c:pt>
                <c:pt idx="36">
                  <c:v>0.37870166996611543</c:v>
                </c:pt>
                <c:pt idx="37">
                  <c:v>0.38932961839316604</c:v>
                </c:pt>
                <c:pt idx="38">
                  <c:v>0.39996449892410102</c:v>
                </c:pt>
                <c:pt idx="39">
                  <c:v>0.41060631742976106</c:v>
                </c:pt>
                <c:pt idx="40">
                  <c:v>0.42125507982358956</c:v>
                </c:pt>
                <c:pt idx="41">
                  <c:v>0.43191079206169325</c:v>
                </c:pt>
                <c:pt idx="42">
                  <c:v>0.44257346014290472</c:v>
                </c:pt>
                <c:pt idx="43">
                  <c:v>0.45324309010884328</c:v>
                </c:pt>
                <c:pt idx="44">
                  <c:v>0.46391968804397909</c:v>
                </c:pt>
                <c:pt idx="45">
                  <c:v>0.47460326007569575</c:v>
                </c:pt>
                <c:pt idx="46">
                  <c:v>0.48529381237435543</c:v>
                </c:pt>
                <c:pt idx="47">
                  <c:v>0.49599135115336268</c:v>
                </c:pt>
                <c:pt idx="48">
                  <c:v>0.50669588266923116</c:v>
                </c:pt>
                <c:pt idx="49">
                  <c:v>0.51740741322164863</c:v>
                </c:pt>
                <c:pt idx="50">
                  <c:v>0.52812594915354494</c:v>
                </c:pt>
                <c:pt idx="51">
                  <c:v>0.53885149685115852</c:v>
                </c:pt>
                <c:pt idx="52">
                  <c:v>0.54958406274410554</c:v>
                </c:pt>
                <c:pt idx="53">
                  <c:v>0.56032365330544798</c:v>
                </c:pt>
                <c:pt idx="54">
                  <c:v>0.57107027505176378</c:v>
                </c:pt>
                <c:pt idx="55">
                  <c:v>0.58182393454321668</c:v>
                </c:pt>
                <c:pt idx="56">
                  <c:v>0.59258463838362752</c:v>
                </c:pt>
                <c:pt idx="57">
                  <c:v>0.6033523932205449</c:v>
                </c:pt>
                <c:pt idx="58">
                  <c:v>0.61412720574531898</c:v>
                </c:pt>
                <c:pt idx="59">
                  <c:v>0.62490908269317291</c:v>
                </c:pt>
                <c:pt idx="60">
                  <c:v>0.63569803084327725</c:v>
                </c:pt>
                <c:pt idx="61">
                  <c:v>0.64649405701882401</c:v>
                </c:pt>
                <c:pt idx="62">
                  <c:v>0.65729716808710181</c:v>
                </c:pt>
                <c:pt idx="63">
                  <c:v>0.66810737095957118</c:v>
                </c:pt>
                <c:pt idx="64">
                  <c:v>0.67892467259194178</c:v>
                </c:pt>
                <c:pt idx="65">
                  <c:v>0.68974907998424806</c:v>
                </c:pt>
                <c:pt idx="66">
                  <c:v>0.70058060018092849</c:v>
                </c:pt>
                <c:pt idx="67">
                  <c:v>0.71141924027090309</c:v>
                </c:pt>
                <c:pt idx="68">
                  <c:v>0.72226500738765287</c:v>
                </c:pt>
                <c:pt idx="69">
                  <c:v>0.73311790870929916</c:v>
                </c:pt>
                <c:pt idx="70">
                  <c:v>0.74397795145868528</c:v>
                </c:pt>
                <c:pt idx="71">
                  <c:v>0.75484514290345661</c:v>
                </c:pt>
                <c:pt idx="72">
                  <c:v>0.7657194903561434</c:v>
                </c:pt>
                <c:pt idx="73">
                  <c:v>0.77660100117424258</c:v>
                </c:pt>
                <c:pt idx="74">
                  <c:v>0.78748968276030151</c:v>
                </c:pt>
                <c:pt idx="75">
                  <c:v>0.79838554256200278</c:v>
                </c:pt>
                <c:pt idx="76">
                  <c:v>0.80928858807224757</c:v>
                </c:pt>
                <c:pt idx="77">
                  <c:v>0.82019882682924239</c:v>
                </c:pt>
                <c:pt idx="78">
                  <c:v>0.8311162664165842</c:v>
                </c:pt>
                <c:pt idx="79">
                  <c:v>0.84204091446334861</c:v>
                </c:pt>
                <c:pt idx="80">
                  <c:v>0.85297277864417631</c:v>
                </c:pt>
                <c:pt idx="81">
                  <c:v>0.86391186667936193</c:v>
                </c:pt>
                <c:pt idx="82">
                  <c:v>0.87485818633494317</c:v>
                </c:pt>
                <c:pt idx="83">
                  <c:v>0.88581174542279129</c:v>
                </c:pt>
                <c:pt idx="84">
                  <c:v>0.8967725518006997</c:v>
                </c:pt>
                <c:pt idx="85">
                  <c:v>0.90774061337247747</c:v>
                </c:pt>
                <c:pt idx="86">
                  <c:v>0.91871593808803997</c:v>
                </c:pt>
                <c:pt idx="87">
                  <c:v>0.9296985339435021</c:v>
                </c:pt>
                <c:pt idx="88">
                  <c:v>0.94068840898127171</c:v>
                </c:pt>
                <c:pt idx="89">
                  <c:v>0.95168557129014308</c:v>
                </c:pt>
                <c:pt idx="90">
                  <c:v>0.96269002900539391</c:v>
                </c:pt>
                <c:pt idx="91">
                  <c:v>0.9737017903088786</c:v>
                </c:pt>
                <c:pt idx="92">
                  <c:v>0.98472086342912624</c:v>
                </c:pt>
                <c:pt idx="93">
                  <c:v>0.99574725664143682</c:v>
                </c:pt>
                <c:pt idx="94">
                  <c:v>1.0067809782679809</c:v>
                </c:pt>
                <c:pt idx="95">
                  <c:v>1.0178220366778958</c:v>
                </c:pt>
                <c:pt idx="96">
                  <c:v>1.0288704402873872</c:v>
                </c:pt>
                <c:pt idx="97">
                  <c:v>1.0399261975598284</c:v>
                </c:pt>
                <c:pt idx="98">
                  <c:v>1.0509893170058615</c:v>
                </c:pt>
                <c:pt idx="99">
                  <c:v>1.0620598071834988</c:v>
                </c:pt>
                <c:pt idx="100">
                  <c:v>1.0731376766982259</c:v>
                </c:pt>
              </c:numCache>
            </c:numRef>
          </c:val>
          <c:smooth val="0"/>
          <c:extLst>
            <c:ext xmlns:c16="http://schemas.microsoft.com/office/drawing/2014/chart" uri="{C3380CC4-5D6E-409C-BE32-E72D297353CC}">
              <c16:uniqueId val="{00000003-C1B6-475C-810B-3C43E5BC6454}"/>
            </c:ext>
          </c:extLst>
        </c:ser>
        <c:dLbls>
          <c:showLegendKey val="0"/>
          <c:showVal val="0"/>
          <c:showCatName val="0"/>
          <c:showSerName val="0"/>
          <c:showPercent val="0"/>
          <c:showBubbleSize val="0"/>
        </c:dLbls>
        <c:marker val="1"/>
        <c:smooth val="0"/>
        <c:axId val="202010624"/>
        <c:axId val="202008448"/>
      </c:lineChart>
      <c:catAx>
        <c:axId val="20199616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02006528"/>
        <c:crosses val="autoZero"/>
        <c:auto val="1"/>
        <c:lblAlgn val="ctr"/>
        <c:lblOffset val="100"/>
        <c:tickLblSkip val="20"/>
        <c:tickMarkSkip val="20"/>
        <c:noMultiLvlLbl val="1"/>
      </c:catAx>
      <c:valAx>
        <c:axId val="202006528"/>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01996160"/>
        <c:crosses val="autoZero"/>
        <c:crossBetween val="between"/>
        <c:majorUnit val="5"/>
        <c:minorUnit val="2.5"/>
      </c:valAx>
      <c:valAx>
        <c:axId val="20200844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02010624"/>
        <c:crosses val="max"/>
        <c:crossBetween val="between"/>
      </c:valAx>
      <c:catAx>
        <c:axId val="202010624"/>
        <c:scaling>
          <c:orientation val="minMax"/>
        </c:scaling>
        <c:delete val="1"/>
        <c:axPos val="b"/>
        <c:numFmt formatCode="0.000" sourceLinked="1"/>
        <c:majorTickMark val="out"/>
        <c:minorTickMark val="none"/>
        <c:tickLblPos val="nextTo"/>
        <c:crossAx val="202008448"/>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'Ch2 Efficiency Calculations'!$AZ$9:$AZ$109</c:f>
              <c:numCache>
                <c:formatCode>0.00</c:formatCode>
                <c:ptCount val="101"/>
                <c:pt idx="0">
                  <c:v>0</c:v>
                </c:pt>
                <c:pt idx="1">
                  <c:v>23.986633957584104</c:v>
                </c:pt>
                <c:pt idx="2">
                  <c:v>37.674608837835976</c:v>
                </c:pt>
                <c:pt idx="3">
                  <c:v>46.558291506896914</c:v>
                </c:pt>
                <c:pt idx="4">
                  <c:v>52.813998197999531</c:v>
                </c:pt>
                <c:pt idx="5">
                  <c:v>57.476164630408043</c:v>
                </c:pt>
                <c:pt idx="6">
                  <c:v>61.099413124661453</c:v>
                </c:pt>
                <c:pt idx="7">
                  <c:v>64.007842573195731</c:v>
                </c:pt>
                <c:pt idx="8">
                  <c:v>66.403524364806643</c:v>
                </c:pt>
                <c:pt idx="9">
                  <c:v>68.418993674890729</c:v>
                </c:pt>
                <c:pt idx="10">
                  <c:v>70.144791636346397</c:v>
                </c:pt>
                <c:pt idx="11">
                  <c:v>71.64487760324792</c:v>
                </c:pt>
                <c:pt idx="12">
                  <c:v>72.922273455581973</c:v>
                </c:pt>
                <c:pt idx="13">
                  <c:v>74.016966415906026</c:v>
                </c:pt>
                <c:pt idx="14">
                  <c:v>74.978814427945863</c:v>
                </c:pt>
                <c:pt idx="15">
                  <c:v>75.830039138847056</c:v>
                </c:pt>
                <c:pt idx="16">
                  <c:v>76.588167890519955</c:v>
                </c:pt>
                <c:pt idx="17">
                  <c:v>77.26721110399329</c:v>
                </c:pt>
                <c:pt idx="18">
                  <c:v>77.878502228845718</c:v>
                </c:pt>
                <c:pt idx="19">
                  <c:v>78.431307939983441</c:v>
                </c:pt>
                <c:pt idx="20">
                  <c:v>78.933278703695748</c:v>
                </c:pt>
                <c:pt idx="21">
                  <c:v>79.390786397774576</c:v>
                </c:pt>
                <c:pt idx="22">
                  <c:v>79.809180692599156</c:v>
                </c:pt>
                <c:pt idx="23">
                  <c:v>80.192986119783995</c:v>
                </c:pt>
                <c:pt idx="24">
                  <c:v>80.54605524261801</c:v>
                </c:pt>
                <c:pt idx="25">
                  <c:v>80.871688928258308</c:v>
                </c:pt>
                <c:pt idx="26">
                  <c:v>81.172731680386917</c:v>
                </c:pt>
                <c:pt idx="27">
                  <c:v>81.451647864129811</c:v>
                </c:pt>
                <c:pt idx="28">
                  <c:v>81.710583146910906</c:v>
                </c:pt>
                <c:pt idx="29">
                  <c:v>81.951414395805273</c:v>
                </c:pt>
                <c:pt idx="30">
                  <c:v>82.175790484822656</c:v>
                </c:pt>
                <c:pt idx="31">
                  <c:v>82.385165887172988</c:v>
                </c:pt>
                <c:pt idx="32">
                  <c:v>82.580828498189547</c:v>
                </c:pt>
                <c:pt idx="33">
                  <c:v>82.76392281274579</c:v>
                </c:pt>
                <c:pt idx="34">
                  <c:v>82.935469337584223</c:v>
                </c:pt>
                <c:pt idx="35">
                  <c:v>83.096380933309106</c:v>
                </c:pt>
                <c:pt idx="36">
                  <c:v>83.247476638044475</c:v>
                </c:pt>
                <c:pt idx="37">
                  <c:v>83.38949341417954</c:v>
                </c:pt>
                <c:pt idx="38">
                  <c:v>83.523096173357203</c:v>
                </c:pt>
                <c:pt idx="39">
                  <c:v>83.648886367107139</c:v>
                </c:pt>
                <c:pt idx="40">
                  <c:v>83.76740937697538</c:v>
                </c:pt>
                <c:pt idx="41">
                  <c:v>83.87916089542064</c:v>
                </c:pt>
                <c:pt idx="42">
                  <c:v>83.984592454695203</c:v>
                </c:pt>
                <c:pt idx="43">
                  <c:v>84.084116233547306</c:v>
                </c:pt>
                <c:pt idx="44">
                  <c:v>84.178109249451978</c:v>
                </c:pt>
                <c:pt idx="45">
                  <c:v>84.266917026101609</c:v>
                </c:pt>
                <c:pt idx="46">
                  <c:v>84.350856811217966</c:v>
                </c:pt>
                <c:pt idx="47">
                  <c:v>84.430220407722587</c:v>
                </c:pt>
                <c:pt idx="48">
                  <c:v>84.505276671401049</c:v>
                </c:pt>
                <c:pt idx="49">
                  <c:v>84.576273720012168</c:v>
                </c:pt>
                <c:pt idx="50">
                  <c:v>84.643440891999944</c:v>
                </c:pt>
                <c:pt idx="51">
                  <c:v>84.706990487305504</c:v>
                </c:pt>
                <c:pt idx="52">
                  <c:v>84.767119318045104</c:v>
                </c:pt>
                <c:pt idx="53">
                  <c:v>84.824010092847828</c:v>
                </c:pt>
                <c:pt idx="54">
                  <c:v>84.877832655304204</c:v>
                </c:pt>
                <c:pt idx="55">
                  <c:v>84.928745094152617</c:v>
                </c:pt>
                <c:pt idx="56">
                  <c:v>84.976894740437672</c:v>
                </c:pt>
                <c:pt idx="57">
                  <c:v>85.022419064841401</c:v>
                </c:pt>
                <c:pt idx="58">
                  <c:v>85.065446486655119</c:v>
                </c:pt>
                <c:pt idx="59">
                  <c:v>85.106097104377994</c:v>
                </c:pt>
                <c:pt idx="60">
                  <c:v>85.144483356659933</c:v>
                </c:pt>
                <c:pt idx="61">
                  <c:v>85.18071062121453</c:v>
                </c:pt>
                <c:pt idx="62">
                  <c:v>85.214877758389321</c:v>
                </c:pt>
                <c:pt idx="63">
                  <c:v>85.247077605268274</c:v>
                </c:pt>
                <c:pt idx="64">
                  <c:v>85.277397425480274</c:v>
                </c:pt>
                <c:pt idx="65">
                  <c:v>85.305919319277095</c:v>
                </c:pt>
                <c:pt idx="66">
                  <c:v>85.332720597915525</c:v>
                </c:pt>
                <c:pt idx="67">
                  <c:v>85.357874125916496</c:v>
                </c:pt>
                <c:pt idx="68">
                  <c:v>85.381448634371068</c:v>
                </c:pt>
                <c:pt idx="69">
                  <c:v>85.40350900811049</c:v>
                </c:pt>
                <c:pt idx="70">
                  <c:v>85.424116549249092</c:v>
                </c:pt>
                <c:pt idx="71">
                  <c:v>85.443329219336619</c:v>
                </c:pt>
                <c:pt idx="72">
                  <c:v>85.461201862118159</c:v>
                </c:pt>
                <c:pt idx="73">
                  <c:v>85.477786408689553</c:v>
                </c:pt>
                <c:pt idx="74">
                  <c:v>85.493132066649707</c:v>
                </c:pt>
                <c:pt idx="75">
                  <c:v>85.507285494687167</c:v>
                </c:pt>
                <c:pt idx="76">
                  <c:v>85.520290963893103</c:v>
                </c:pt>
                <c:pt idx="77">
                  <c:v>85.532190506962039</c:v>
                </c:pt>
                <c:pt idx="78">
                  <c:v>85.54302405632906</c:v>
                </c:pt>
                <c:pt idx="79">
                  <c:v>85.552829572187633</c:v>
                </c:pt>
                <c:pt idx="80">
                  <c:v>85.561643161242813</c:v>
                </c:pt>
                <c:pt idx="81">
                  <c:v>85.569499186971953</c:v>
                </c:pt>
                <c:pt idx="82">
                  <c:v>85.576430372093185</c:v>
                </c:pt>
                <c:pt idx="83">
                  <c:v>85.582467893876085</c:v>
                </c:pt>
                <c:pt idx="84">
                  <c:v>85.587641472870928</c:v>
                </c:pt>
                <c:pt idx="85">
                  <c:v>85.591979455580315</c:v>
                </c:pt>
                <c:pt idx="86">
                  <c:v>85.59550889155021</c:v>
                </c:pt>
                <c:pt idx="87">
                  <c:v>85.598255605314208</c:v>
                </c:pt>
                <c:pt idx="88">
                  <c:v>85.600244263587655</c:v>
                </c:pt>
                <c:pt idx="89">
                  <c:v>85.601498438072937</c:v>
                </c:pt>
                <c:pt idx="90">
                  <c:v>85.602040664206598</c:v>
                </c:pt>
                <c:pt idx="91">
                  <c:v>85.601892496150654</c:v>
                </c:pt>
                <c:pt idx="92">
                  <c:v>85.601074558305015</c:v>
                </c:pt>
                <c:pt idx="93">
                  <c:v>85.599606593594586</c:v>
                </c:pt>
                <c:pt idx="94">
                  <c:v>85.597507508764295</c:v>
                </c:pt>
                <c:pt idx="95">
                  <c:v>85.594795416895494</c:v>
                </c:pt>
                <c:pt idx="96">
                  <c:v>85.59148767734051</c:v>
                </c:pt>
                <c:pt idx="97">
                  <c:v>85.587600933256041</c:v>
                </c:pt>
                <c:pt idx="98">
                  <c:v>85.583151146901898</c:v>
                </c:pt>
                <c:pt idx="99">
                  <c:v>85.578153632858417</c:v>
                </c:pt>
                <c:pt idx="100">
                  <c:v>85.572623089304344</c:v>
                </c:pt>
              </c:numCache>
            </c:numRef>
          </c:val>
          <c:smooth val="0"/>
          <c:extLst>
            <c:ext xmlns:c16="http://schemas.microsoft.com/office/drawing/2014/chart" uri="{C3380CC4-5D6E-409C-BE32-E72D297353CC}">
              <c16:uniqueId val="{00000000-BBE1-43E5-BAF3-C6A1FB34B6E7}"/>
            </c:ext>
          </c:extLst>
        </c:ser>
        <c:dLbls>
          <c:showLegendKey val="0"/>
          <c:showVal val="0"/>
          <c:showCatName val="0"/>
          <c:showSerName val="0"/>
          <c:showPercent val="0"/>
          <c:showBubbleSize val="0"/>
        </c:dLbls>
        <c:marker val="1"/>
        <c:smooth val="0"/>
        <c:axId val="220216704"/>
        <c:axId val="220227072"/>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'Ch2 Efficiency Calculations'!$BC$9:$BC$109</c:f>
              <c:numCache>
                <c:formatCode>0.000</c:formatCode>
                <c:ptCount val="101"/>
                <c:pt idx="0">
                  <c:v>0.53756746787757392</c:v>
                </c:pt>
                <c:pt idx="1">
                  <c:v>0.58122314363220351</c:v>
                </c:pt>
                <c:pt idx="2">
                  <c:v>0.62272318061040988</c:v>
                </c:pt>
                <c:pt idx="3">
                  <c:v>0.6620677637079263</c:v>
                </c:pt>
                <c:pt idx="4">
                  <c:v>0.69925704201523786</c:v>
                </c:pt>
                <c:pt idx="5">
                  <c:v>0.73429112877459535</c:v>
                </c:pt>
                <c:pt idx="6">
                  <c:v>0.76717010133553687</c:v>
                </c:pt>
                <c:pt idx="7">
                  <c:v>0.79789400110892139</c:v>
                </c:pt>
                <c:pt idx="8">
                  <c:v>0.82646283351946059</c:v>
                </c:pt>
                <c:pt idx="9">
                  <c:v>0.85287656795674649</c:v>
                </c:pt>
                <c:pt idx="10">
                  <c:v>0.8771351377247687</c:v>
                </c:pt>
                <c:pt idx="11">
                  <c:v>0.89923843998991659</c:v>
                </c:pt>
                <c:pt idx="12">
                  <c:v>0.92205521348106412</c:v>
                </c:pt>
                <c:pt idx="13">
                  <c:v>0.94612109973623482</c:v>
                </c:pt>
                <c:pt idx="14">
                  <c:v>0.97020795919325864</c:v>
                </c:pt>
                <c:pt idx="15">
                  <c:v>0.99431586557073637</c:v>
                </c:pt>
                <c:pt idx="16">
                  <c:v>1.018444893008601</c:v>
                </c:pt>
                <c:pt idx="17">
                  <c:v>1.042595116070729</c:v>
                </c:pt>
                <c:pt idx="18">
                  <c:v>1.0667666097475728</c:v>
                </c:pt>
                <c:pt idx="19">
                  <c:v>1.0909594494588175</c:v>
                </c:pt>
                <c:pt idx="20">
                  <c:v>1.1151737110560558</c:v>
                </c:pt>
                <c:pt idx="21">
                  <c:v>1.1394094708254883</c:v>
                </c:pt>
                <c:pt idx="22">
                  <c:v>1.1636668054906454</c:v>
                </c:pt>
                <c:pt idx="23">
                  <c:v>1.1879457922151306</c:v>
                </c:pt>
                <c:pt idx="24">
                  <c:v>1.2122465086053884</c:v>
                </c:pt>
                <c:pt idx="25">
                  <c:v>1.2365690327134948</c:v>
                </c:pt>
                <c:pt idx="26">
                  <c:v>1.2609134430399691</c:v>
                </c:pt>
                <c:pt idx="27">
                  <c:v>1.2852798185366117</c:v>
                </c:pt>
                <c:pt idx="28">
                  <c:v>1.309668238609365</c:v>
                </c:pt>
                <c:pt idx="29">
                  <c:v>1.3340787831211978</c:v>
                </c:pt>
                <c:pt idx="30">
                  <c:v>1.3585115323950125</c:v>
                </c:pt>
                <c:pt idx="31">
                  <c:v>1.3829665672165796</c:v>
                </c:pt>
                <c:pt idx="32">
                  <c:v>1.4074439688374936</c:v>
                </c:pt>
                <c:pt idx="33">
                  <c:v>1.4319438189781561</c:v>
                </c:pt>
                <c:pt idx="34">
                  <c:v>1.4564661998307837</c:v>
                </c:pt>
                <c:pt idx="35">
                  <c:v>1.4810111940624373</c:v>
                </c:pt>
                <c:pt idx="36">
                  <c:v>1.5055788848180836</c:v>
                </c:pt>
                <c:pt idx="37">
                  <c:v>1.5301693557236766</c:v>
                </c:pt>
                <c:pt idx="38">
                  <c:v>1.5547826908892677</c:v>
                </c:pt>
                <c:pt idx="39">
                  <c:v>1.5794189749121403</c:v>
                </c:pt>
                <c:pt idx="40">
                  <c:v>1.6040782928799744</c:v>
                </c:pt>
                <c:pt idx="41">
                  <c:v>1.628760730374031</c:v>
                </c:pt>
                <c:pt idx="42">
                  <c:v>1.6534663734723734</c:v>
                </c:pt>
                <c:pt idx="43">
                  <c:v>1.6781953087531045</c:v>
                </c:pt>
                <c:pt idx="44">
                  <c:v>1.702947623297641</c:v>
                </c:pt>
                <c:pt idx="45">
                  <c:v>1.7277234046940093</c:v>
                </c:pt>
                <c:pt idx="46">
                  <c:v>1.7525227410401718</c:v>
                </c:pt>
                <c:pt idx="47">
                  <c:v>1.7773457209473804</c:v>
                </c:pt>
                <c:pt idx="48">
                  <c:v>1.8021924335435606</c:v>
                </c:pt>
                <c:pt idx="49">
                  <c:v>1.8270629684767212</c:v>
                </c:pt>
                <c:pt idx="50">
                  <c:v>1.8519574159183945</c:v>
                </c:pt>
                <c:pt idx="51">
                  <c:v>1.876875866567107</c:v>
                </c:pt>
                <c:pt idx="52">
                  <c:v>1.901818411651877</c:v>
                </c:pt>
                <c:pt idx="53">
                  <c:v>1.9267851429357443</c:v>
                </c:pt>
                <c:pt idx="54">
                  <c:v>1.95177615271933</c:v>
                </c:pt>
                <c:pt idx="55">
                  <c:v>1.9767915338444237</c:v>
                </c:pt>
                <c:pt idx="56">
                  <c:v>2.0018313796976059</c:v>
                </c:pt>
                <c:pt idx="57">
                  <c:v>2.0268957842138975</c:v>
                </c:pt>
                <c:pt idx="58">
                  <c:v>2.0519848418804427</c:v>
                </c:pt>
                <c:pt idx="59">
                  <c:v>2.0770986477402236</c:v>
                </c:pt>
                <c:pt idx="60">
                  <c:v>2.1022372973958046</c:v>
                </c:pt>
                <c:pt idx="61">
                  <c:v>2.1274008870131125</c:v>
                </c:pt>
                <c:pt idx="62">
                  <c:v>2.1525895133252444</c:v>
                </c:pt>
                <c:pt idx="63">
                  <c:v>2.1778032736363135</c:v>
                </c:pt>
                <c:pt idx="64">
                  <c:v>2.2030422658253253</c:v>
                </c:pt>
                <c:pt idx="65">
                  <c:v>2.228306588350085</c:v>
                </c:pt>
                <c:pt idx="66">
                  <c:v>2.2535963402511436</c:v>
                </c:pt>
                <c:pt idx="67">
                  <c:v>2.2789116211557778</c:v>
                </c:pt>
                <c:pt idx="68">
                  <c:v>2.3042525312819975</c:v>
                </c:pt>
                <c:pt idx="69">
                  <c:v>2.329619171442594</c:v>
                </c:pt>
                <c:pt idx="70">
                  <c:v>2.3550116430492274</c:v>
                </c:pt>
                <c:pt idx="71">
                  <c:v>2.3804300481165361</c:v>
                </c:pt>
                <c:pt idx="72">
                  <c:v>2.4058744892662984</c:v>
                </c:pt>
                <c:pt idx="73">
                  <c:v>2.431345069731615</c:v>
                </c:pt>
                <c:pt idx="74">
                  <c:v>2.45684189336114</c:v>
                </c:pt>
                <c:pt idx="75">
                  <c:v>2.4823650646233419</c:v>
                </c:pt>
                <c:pt idx="76">
                  <c:v>2.5079146886108061</c:v>
                </c:pt>
                <c:pt idx="77">
                  <c:v>2.533490871044568</c:v>
                </c:pt>
                <c:pt idx="78">
                  <c:v>2.5590937182784939</c:v>
                </c:pt>
                <c:pt idx="79">
                  <c:v>2.5847233373036937</c:v>
                </c:pt>
                <c:pt idx="80">
                  <c:v>2.6103798357529717</c:v>
                </c:pt>
                <c:pt idx="81">
                  <c:v>2.6360633219053229</c:v>
                </c:pt>
                <c:pt idx="82">
                  <c:v>2.6617739046904596</c:v>
                </c:pt>
                <c:pt idx="83">
                  <c:v>2.6875116936933887</c:v>
                </c:pt>
                <c:pt idx="84">
                  <c:v>2.7132767991590176</c:v>
                </c:pt>
                <c:pt idx="85">
                  <c:v>2.7390693319968107</c:v>
                </c:pt>
                <c:pt idx="86">
                  <c:v>2.7648894037854834</c:v>
                </c:pt>
                <c:pt idx="87">
                  <c:v>2.7907371267777346</c:v>
                </c:pt>
                <c:pt idx="88">
                  <c:v>2.8166126139050247</c:v>
                </c:pt>
                <c:pt idx="89">
                  <c:v>2.842515978782397</c:v>
                </c:pt>
                <c:pt idx="90">
                  <c:v>2.8684473357133391</c:v>
                </c:pt>
                <c:pt idx="91">
                  <c:v>2.8944067996946869</c:v>
                </c:pt>
                <c:pt idx="92">
                  <c:v>2.9203944864215763</c:v>
                </c:pt>
                <c:pt idx="93">
                  <c:v>2.9464105122924344</c:v>
                </c:pt>
                <c:pt idx="94">
                  <c:v>2.9724549944140195</c:v>
                </c:pt>
                <c:pt idx="95">
                  <c:v>2.9985280506065046</c:v>
                </c:pt>
                <c:pt idx="96">
                  <c:v>3.024629799408602</c:v>
                </c:pt>
                <c:pt idx="97">
                  <c:v>3.0507603600827413</c:v>
                </c:pt>
                <c:pt idx="98">
                  <c:v>3.0769198526202892</c:v>
                </c:pt>
                <c:pt idx="99">
                  <c:v>3.1031083977468183</c:v>
                </c:pt>
                <c:pt idx="100">
                  <c:v>3.1293261169274187</c:v>
                </c:pt>
              </c:numCache>
            </c:numRef>
          </c:val>
          <c:smooth val="0"/>
          <c:extLst>
            <c:ext xmlns:c16="http://schemas.microsoft.com/office/drawing/2014/chart" uri="{C3380CC4-5D6E-409C-BE32-E72D297353CC}">
              <c16:uniqueId val="{00000001-BBE1-43E5-BAF3-C6A1FB34B6E7}"/>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'Ch2 Efficiency Calculations'!$BA$9:$BA$109</c:f>
              <c:numCache>
                <c:formatCode>0.000</c:formatCode>
                <c:ptCount val="101"/>
                <c:pt idx="0">
                  <c:v>0.30252784112123576</c:v>
                </c:pt>
                <c:pt idx="1">
                  <c:v>0.30258775846038882</c:v>
                </c:pt>
                <c:pt idx="2">
                  <c:v>0.30276569096188116</c:v>
                </c:pt>
                <c:pt idx="3">
                  <c:v>0.30306164846694023</c:v>
                </c:pt>
                <c:pt idx="4">
                  <c:v>0.30347564734559968</c:v>
                </c:pt>
                <c:pt idx="5">
                  <c:v>0.30400771049896341</c:v>
                </c:pt>
                <c:pt idx="6">
                  <c:v>0.30465786736237227</c:v>
                </c:pt>
                <c:pt idx="7">
                  <c:v>0.30542615390947647</c:v>
                </c:pt>
                <c:pt idx="8">
                  <c:v>0.30631261265721221</c:v>
                </c:pt>
                <c:pt idx="9">
                  <c:v>0.307317292671686</c:v>
                </c:pt>
                <c:pt idx="10">
                  <c:v>0.30844024957496646</c:v>
                </c:pt>
                <c:pt idx="11">
                  <c:v>0.30968154555278643</c:v>
                </c:pt>
                <c:pt idx="12">
                  <c:v>0.31104124936315741</c:v>
                </c:pt>
                <c:pt idx="13">
                  <c:v>0.31251943634589752</c:v>
                </c:pt>
                <c:pt idx="14">
                  <c:v>0.31411618843307648</c:v>
                </c:pt>
                <c:pt idx="15">
                  <c:v>0.31583159416038009</c:v>
                </c:pt>
                <c:pt idx="16">
                  <c:v>0.31766574867939701</c:v>
                </c:pt>
                <c:pt idx="17">
                  <c:v>0.31961875377083077</c:v>
                </c:pt>
                <c:pt idx="18">
                  <c:v>0.32169071785864101</c:v>
                </c:pt>
                <c:pt idx="19">
                  <c:v>0.32388175602511715</c:v>
                </c:pt>
                <c:pt idx="20">
                  <c:v>0.32619199002688898</c:v>
                </c:pt>
                <c:pt idx="21">
                  <c:v>0.32862154831187718</c:v>
                </c:pt>
                <c:pt idx="22">
                  <c:v>0.33117056603718997</c:v>
                </c:pt>
                <c:pt idx="23">
                  <c:v>0.33383918508796856</c:v>
                </c:pt>
                <c:pt idx="24">
                  <c:v>0.33662755409718809</c:v>
                </c:pt>
                <c:pt idx="25">
                  <c:v>0.33953582846641783</c:v>
                </c:pt>
                <c:pt idx="26">
                  <c:v>0.34256417038754711</c:v>
                </c:pt>
                <c:pt idx="27">
                  <c:v>0.34571274886548214</c:v>
                </c:pt>
                <c:pt idx="28">
                  <c:v>0.34898173974181934</c:v>
                </c:pt>
                <c:pt idx="29">
                  <c:v>0.35237132571950275</c:v>
                </c:pt>
                <c:pt idx="30">
                  <c:v>0.35588169638847006</c:v>
                </c:pt>
                <c:pt idx="31">
                  <c:v>0.35951304825229574</c:v>
                </c:pt>
                <c:pt idx="32">
                  <c:v>0.36326558475583726</c:v>
                </c:pt>
                <c:pt idx="33">
                  <c:v>0.36713951631389202</c:v>
                </c:pt>
                <c:pt idx="34">
                  <c:v>0.37113506034087279</c:v>
                </c:pt>
                <c:pt idx="35">
                  <c:v>0.37525244128150903</c:v>
                </c:pt>
                <c:pt idx="36">
                  <c:v>0.3794918906425826</c:v>
                </c:pt>
                <c:pt idx="37">
                  <c:v>0.38385364702570623</c:v>
                </c:pt>
                <c:pt idx="38">
                  <c:v>0.38833795616115352</c:v>
                </c:pt>
                <c:pt idx="39">
                  <c:v>0.39294507094274905</c:v>
                </c:pt>
                <c:pt idx="40">
                  <c:v>0.39767525146382904</c:v>
                </c:pt>
                <c:pt idx="41">
                  <c:v>0.40252876505427992</c:v>
                </c:pt>
                <c:pt idx="42">
                  <c:v>0.40750588631866863</c:v>
                </c:pt>
                <c:pt idx="43">
                  <c:v>0.41260689717546972</c:v>
                </c:pt>
                <c:pt idx="44">
                  <c:v>0.4178320868974052</c:v>
                </c:pt>
                <c:pt idx="45">
                  <c:v>0.42318175215290321</c:v>
                </c:pt>
                <c:pt idx="46">
                  <c:v>0.42865619704869073</c:v>
                </c:pt>
                <c:pt idx="47">
                  <c:v>0.43425573317352884</c:v>
                </c:pt>
                <c:pt idx="48">
                  <c:v>0.43998067964310444</c:v>
                </c:pt>
                <c:pt idx="49">
                  <c:v>0.44583136314608923</c:v>
                </c:pt>
                <c:pt idx="50">
                  <c:v>0.45180811799137949</c:v>
                </c:pt>
                <c:pt idx="51">
                  <c:v>0.45791128615652943</c:v>
                </c:pt>
                <c:pt idx="52">
                  <c:v>0.46414121733739055</c:v>
                </c:pt>
                <c:pt idx="53">
                  <c:v>0.4704982689989719</c:v>
                </c:pt>
                <c:pt idx="54">
                  <c:v>0.47698280642753421</c:v>
                </c:pt>
                <c:pt idx="55">
                  <c:v>0.48359520278393303</c:v>
                </c:pt>
                <c:pt idx="56">
                  <c:v>0.49033583915822504</c:v>
                </c:pt>
                <c:pt idx="57">
                  <c:v>0.49720510462555306</c:v>
                </c:pt>
                <c:pt idx="58">
                  <c:v>0.50420339630332556</c:v>
                </c:pt>
                <c:pt idx="59">
                  <c:v>0.51133111940970577</c:v>
                </c:pt>
                <c:pt idx="60">
                  <c:v>0.51858868732342711</c:v>
                </c:pt>
                <c:pt idx="61">
                  <c:v>0.5259765216449529</c:v>
                </c:pt>
                <c:pt idx="62">
                  <c:v>0.53349505225899596</c:v>
                </c:pt>
                <c:pt idx="63">
                  <c:v>0.54114471739841585</c:v>
                </c:pt>
                <c:pt idx="64">
                  <c:v>0.54892596370951352</c:v>
                </c:pt>
                <c:pt idx="65">
                  <c:v>0.55683924631873938</c:v>
                </c:pt>
                <c:pt idx="66">
                  <c:v>0.56488502890083658</c:v>
                </c:pt>
                <c:pt idx="67">
                  <c:v>0.57306378374843592</c:v>
                </c:pt>
                <c:pt idx="68">
                  <c:v>0.58137599184312638</c:v>
                </c:pt>
                <c:pt idx="69">
                  <c:v>0.58982214292801582</c:v>
                </c:pt>
                <c:pt idx="70">
                  <c:v>0.59840273558180967</c:v>
                </c:pt>
                <c:pt idx="71">
                  <c:v>0.60711827729442369</c:v>
                </c:pt>
                <c:pt idx="72">
                  <c:v>0.61596928454415456</c:v>
                </c:pt>
                <c:pt idx="73">
                  <c:v>0.62495628287643235</c:v>
                </c:pt>
                <c:pt idx="74">
                  <c:v>0.63407980698417488</c:v>
                </c:pt>
                <c:pt idx="75">
                  <c:v>0.64334040078977017</c:v>
                </c:pt>
                <c:pt idx="76">
                  <c:v>0.65273861752870865</c:v>
                </c:pt>
                <c:pt idx="77">
                  <c:v>0.66227501983489356</c:v>
                </c:pt>
                <c:pt idx="78">
                  <c:v>0.67195017982764971</c:v>
                </c:pt>
                <c:pt idx="79">
                  <c:v>0.68176467920046124</c:v>
                </c:pt>
                <c:pt idx="80">
                  <c:v>0.69171910931146141</c:v>
                </c:pt>
                <c:pt idx="81">
                  <c:v>0.70181407127570483</c:v>
                </c:pt>
                <c:pt idx="82">
                  <c:v>0.71205017605924537</c:v>
                </c:pt>
                <c:pt idx="83">
                  <c:v>0.72242804457505327</c:v>
                </c:pt>
                <c:pt idx="84">
                  <c:v>0.73294830778079678</c:v>
                </c:pt>
                <c:pt idx="85">
                  <c:v>0.74361160677851867</c:v>
                </c:pt>
                <c:pt idx="86">
                  <c:v>0.75441859291624025</c:v>
                </c:pt>
                <c:pt idx="87">
                  <c:v>0.7653699278915217</c:v>
                </c:pt>
                <c:pt idx="88">
                  <c:v>0.77646628385701022</c:v>
                </c:pt>
                <c:pt idx="89">
                  <c:v>0.78770834352801145</c:v>
                </c:pt>
                <c:pt idx="90">
                  <c:v>0.79909680029211461</c:v>
                </c:pt>
                <c:pt idx="91">
                  <c:v>0.81063235832090696</c:v>
                </c:pt>
                <c:pt idx="92">
                  <c:v>0.82231573268381197</c:v>
                </c:pt>
                <c:pt idx="93">
                  <c:v>0.83414764946408726</c:v>
                </c:pt>
                <c:pt idx="94">
                  <c:v>0.84612884587701831</c:v>
                </c:pt>
                <c:pt idx="95">
                  <c:v>0.8582600703903478</c:v>
                </c:pt>
                <c:pt idx="96">
                  <c:v>0.87054208284697165</c:v>
                </c:pt>
                <c:pt idx="97">
                  <c:v>0.88297565458995231</c:v>
                </c:pt>
                <c:pt idx="98">
                  <c:v>0.89556156858988001</c:v>
                </c:pt>
                <c:pt idx="99">
                  <c:v>0.9083006195746246</c:v>
                </c:pt>
                <c:pt idx="100">
                  <c:v>0.92119361416152434</c:v>
                </c:pt>
              </c:numCache>
            </c:numRef>
          </c:val>
          <c:smooth val="0"/>
          <c:extLst>
            <c:ext xmlns:c16="http://schemas.microsoft.com/office/drawing/2014/chart" uri="{C3380CC4-5D6E-409C-BE32-E72D297353CC}">
              <c16:uniqueId val="{00000002-BBE1-43E5-BAF3-C6A1FB34B6E7}"/>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'Ch2 Efficiency Calculations'!$BD$9:$BD$109</c:f>
              <c:numCache>
                <c:formatCode>0.000</c:formatCode>
                <c:ptCount val="101"/>
                <c:pt idx="0">
                  <c:v>1.919102233340024E-2</c:v>
                </c:pt>
                <c:pt idx="1">
                  <c:v>2.9585147527344303E-2</c:v>
                </c:pt>
                <c:pt idx="2">
                  <c:v>4.0003767608330493E-2</c:v>
                </c:pt>
                <c:pt idx="3">
                  <c:v>5.0446901926777296E-2</c:v>
                </c:pt>
                <c:pt idx="4">
                  <c:v>6.0914570543486007E-2</c:v>
                </c:pt>
                <c:pt idx="5">
                  <c:v>7.1406794230376547E-2</c:v>
                </c:pt>
                <c:pt idx="6">
                  <c:v>8.1923594471275188E-2</c:v>
                </c:pt>
                <c:pt idx="7">
                  <c:v>9.2464993462753747E-2</c:v>
                </c:pt>
                <c:pt idx="8">
                  <c:v>0.10303101411502051</c:v>
                </c:pt>
                <c:pt idx="9">
                  <c:v>0.11362168005286313</c:v>
                </c:pt>
                <c:pt idx="10">
                  <c:v>0.12423701561664333</c:v>
                </c:pt>
                <c:pt idx="11">
                  <c:v>0.13487704586334343</c:v>
                </c:pt>
                <c:pt idx="12">
                  <c:v>0.14659210348152468</c:v>
                </c:pt>
                <c:pt idx="13">
                  <c:v>0.15892556156587023</c:v>
                </c:pt>
                <c:pt idx="14">
                  <c:v>0.1712840161853334</c:v>
                </c:pt>
                <c:pt idx="15">
                  <c:v>0.18366751930462538</c:v>
                </c:pt>
                <c:pt idx="16">
                  <c:v>0.19607612361717419</c:v>
                </c:pt>
                <c:pt idx="17">
                  <c:v>0.20850988254765404</c:v>
                </c:pt>
                <c:pt idx="18">
                  <c:v>0.22096885025456847</c:v>
                </c:pt>
                <c:pt idx="19">
                  <c:v>0.23345308163288708</c:v>
                </c:pt>
                <c:pt idx="20">
                  <c:v>0.24596263231673546</c:v>
                </c:pt>
                <c:pt idx="21">
                  <c:v>0.25849755868213953</c:v>
                </c:pt>
                <c:pt idx="22">
                  <c:v>0.27105791784982475</c:v>
                </c:pt>
                <c:pt idx="23">
                  <c:v>0.2836437676880687</c:v>
                </c:pt>
                <c:pt idx="24">
                  <c:v>0.29625516681560993</c:v>
                </c:pt>
                <c:pt idx="25">
                  <c:v>0.30889217460461138</c:v>
                </c:pt>
                <c:pt idx="26">
                  <c:v>0.32155485118367921</c:v>
                </c:pt>
                <c:pt idx="27">
                  <c:v>0.33424325744093791</c:v>
                </c:pt>
                <c:pt idx="28">
                  <c:v>0.34695745502716174</c:v>
                </c:pt>
                <c:pt idx="29">
                  <c:v>0.35969750635896192</c:v>
                </c:pt>
                <c:pt idx="30">
                  <c:v>0.37246347462203183</c:v>
                </c:pt>
                <c:pt idx="31">
                  <c:v>0.3852554237744486</c:v>
                </c:pt>
                <c:pt idx="32">
                  <c:v>0.39807341855003242</c:v>
                </c:pt>
                <c:pt idx="33">
                  <c:v>0.41091752446176433</c:v>
                </c:pt>
                <c:pt idx="34">
                  <c:v>0.42378780780526198</c:v>
                </c:pt>
                <c:pt idx="35">
                  <c:v>0.43668433566231379</c:v>
                </c:pt>
                <c:pt idx="36">
                  <c:v>0.44960717590447352</c:v>
                </c:pt>
                <c:pt idx="37">
                  <c:v>0.46255639719671249</c:v>
                </c:pt>
                <c:pt idx="38">
                  <c:v>0.47553206900113354</c:v>
                </c:pt>
                <c:pt idx="39">
                  <c:v>0.48853426158074398</c:v>
                </c:pt>
                <c:pt idx="40">
                  <c:v>0.5015630460032906</c:v>
                </c:pt>
                <c:pt idx="41">
                  <c:v>0.51461849414515426</c:v>
                </c:pt>
                <c:pt idx="42">
                  <c:v>0.52770067869530868</c:v>
                </c:pt>
                <c:pt idx="43">
                  <c:v>0.54080967315933792</c:v>
                </c:pt>
                <c:pt idx="44">
                  <c:v>0.5539455518635199</c:v>
                </c:pt>
                <c:pt idx="45">
                  <c:v>0.5671083899589705</c:v>
                </c:pt>
                <c:pt idx="46">
                  <c:v>0.58029826342585289</c:v>
                </c:pt>
                <c:pt idx="47">
                  <c:v>0.59351524907764908</c:v>
                </c:pt>
                <c:pt idx="48">
                  <c:v>0.60675942456549836</c:v>
                </c:pt>
                <c:pt idx="49">
                  <c:v>0.62003086838259835</c:v>
                </c:pt>
                <c:pt idx="50">
                  <c:v>0.63332965986867318</c:v>
                </c:pt>
                <c:pt idx="51">
                  <c:v>0.64665587921450762</c:v>
                </c:pt>
                <c:pt idx="52">
                  <c:v>0.66000960746654691</c:v>
                </c:pt>
                <c:pt idx="53">
                  <c:v>0.67339092653156452</c:v>
                </c:pt>
                <c:pt idx="54">
                  <c:v>0.68679991918139827</c:v>
                </c:pt>
                <c:pt idx="55">
                  <c:v>0.7002366690577525</c:v>
                </c:pt>
                <c:pt idx="56">
                  <c:v>0.71370126067707207</c:v>
                </c:pt>
                <c:pt idx="57">
                  <c:v>0.7271937794354828</c:v>
                </c:pt>
                <c:pt idx="58">
                  <c:v>0.74071431161380541</c:v>
                </c:pt>
                <c:pt idx="59">
                  <c:v>0.75426294438263597</c:v>
                </c:pt>
                <c:pt idx="60">
                  <c:v>0.76783976580750168</c:v>
                </c:pt>
                <c:pt idx="61">
                  <c:v>0.78144486485408549</c:v>
                </c:pt>
                <c:pt idx="62">
                  <c:v>0.79507833139352524</c:v>
                </c:pt>
                <c:pt idx="63">
                  <c:v>0.808740256207785</c:v>
                </c:pt>
                <c:pt idx="64">
                  <c:v>0.82243073099510067</c:v>
                </c:pt>
                <c:pt idx="65">
                  <c:v>0.83614984837549944</c:v>
                </c:pt>
                <c:pt idx="66">
                  <c:v>0.84989770189639602</c:v>
                </c:pt>
                <c:pt idx="67">
                  <c:v>0.86367438603826296</c:v>
                </c:pt>
                <c:pt idx="68">
                  <c:v>0.87747999622037909</c:v>
                </c:pt>
                <c:pt idx="69">
                  <c:v>0.89131462880665313</c:v>
                </c:pt>
                <c:pt idx="70">
                  <c:v>0.90517838111152915</c:v>
                </c:pt>
                <c:pt idx="71">
                  <c:v>0.91907135140596719</c:v>
                </c:pt>
                <c:pt idx="72">
                  <c:v>0.93299363892350506</c:v>
                </c:pt>
                <c:pt idx="73">
                  <c:v>0.94694534386640017</c:v>
                </c:pt>
                <c:pt idx="74">
                  <c:v>0.96092656741185289</c:v>
                </c:pt>
                <c:pt idx="75">
                  <c:v>0.97493741171831161</c:v>
                </c:pt>
                <c:pt idx="76">
                  <c:v>0.98897797993186054</c:v>
                </c:pt>
                <c:pt idx="77">
                  <c:v>1.0030483761926903</c:v>
                </c:pt>
                <c:pt idx="78">
                  <c:v>1.0171487056416544</c:v>
                </c:pt>
                <c:pt idx="79">
                  <c:v>1.0312790744269102</c:v>
                </c:pt>
                <c:pt idx="80">
                  <c:v>1.0454395897106452</c:v>
                </c:pt>
                <c:pt idx="81">
                  <c:v>1.0596303596758916</c:v>
                </c:pt>
                <c:pt idx="82">
                  <c:v>1.0738514935334276</c:v>
                </c:pt>
                <c:pt idx="83">
                  <c:v>1.0881031015287699</c:v>
                </c:pt>
                <c:pt idx="84">
                  <c:v>1.1023852949492507</c:v>
                </c:pt>
                <c:pt idx="85">
                  <c:v>1.1166981861311915</c:v>
                </c:pt>
                <c:pt idx="86">
                  <c:v>1.1310418884671645</c:v>
                </c:pt>
                <c:pt idx="87">
                  <c:v>1.1454165164133476</c:v>
                </c:pt>
                <c:pt idx="88">
                  <c:v>1.1598221854969726</c:v>
                </c:pt>
                <c:pt idx="89">
                  <c:v>1.1742590123238685</c:v>
                </c:pt>
                <c:pt idx="90">
                  <c:v>1.1887271145861014</c:v>
                </c:pt>
                <c:pt idx="91">
                  <c:v>1.2032266110697067</c:v>
                </c:pt>
                <c:pt idx="92">
                  <c:v>1.2177576216625243</c:v>
                </c:pt>
                <c:pt idx="93">
                  <c:v>1.2323202673621281</c:v>
                </c:pt>
                <c:pt idx="94">
                  <c:v>1.2469146702838587</c:v>
                </c:pt>
                <c:pt idx="95">
                  <c:v>1.2615409536689537</c:v>
                </c:pt>
                <c:pt idx="96">
                  <c:v>1.2761992418927817</c:v>
                </c:pt>
                <c:pt idx="97">
                  <c:v>1.2908896604731792</c:v>
                </c:pt>
                <c:pt idx="98">
                  <c:v>1.3056123360788927</c:v>
                </c:pt>
                <c:pt idx="99">
                  <c:v>1.320367396538122</c:v>
                </c:pt>
                <c:pt idx="100">
                  <c:v>1.3351549708471757</c:v>
                </c:pt>
              </c:numCache>
            </c:numRef>
          </c:val>
          <c:smooth val="0"/>
          <c:extLst>
            <c:ext xmlns:c16="http://schemas.microsoft.com/office/drawing/2014/chart" uri="{C3380CC4-5D6E-409C-BE32-E72D297353CC}">
              <c16:uniqueId val="{00000003-BBE1-43E5-BAF3-C6A1FB34B6E7}"/>
            </c:ext>
          </c:extLst>
        </c:ser>
        <c:dLbls>
          <c:showLegendKey val="0"/>
          <c:showVal val="0"/>
          <c:showCatName val="0"/>
          <c:showSerName val="0"/>
          <c:showPercent val="0"/>
          <c:showBubbleSize val="0"/>
        </c:dLbls>
        <c:marker val="1"/>
        <c:smooth val="0"/>
        <c:axId val="220239360"/>
        <c:axId val="220228992"/>
      </c:lineChart>
      <c:catAx>
        <c:axId val="2202167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20227072"/>
        <c:crosses val="autoZero"/>
        <c:auto val="1"/>
        <c:lblAlgn val="ctr"/>
        <c:lblOffset val="100"/>
        <c:tickLblSkip val="20"/>
        <c:tickMarkSkip val="20"/>
        <c:noMultiLvlLbl val="1"/>
      </c:catAx>
      <c:valAx>
        <c:axId val="2202270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20216704"/>
        <c:crosses val="autoZero"/>
        <c:crossBetween val="between"/>
        <c:majorUnit val="5"/>
        <c:minorUnit val="2.5"/>
      </c:valAx>
      <c:valAx>
        <c:axId val="220228992"/>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20239360"/>
        <c:crosses val="max"/>
        <c:crossBetween val="between"/>
      </c:valAx>
      <c:catAx>
        <c:axId val="220239360"/>
        <c:scaling>
          <c:orientation val="minMax"/>
        </c:scaling>
        <c:delete val="1"/>
        <c:axPos val="b"/>
        <c:numFmt formatCode="0.000" sourceLinked="1"/>
        <c:majorTickMark val="out"/>
        <c:minorTickMark val="none"/>
        <c:tickLblPos val="nextTo"/>
        <c:crossAx val="220228992"/>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max="100" min="5" page="10" val="60"/>
</file>

<file path=xl/ctrlProps/ctrlProp5.xml><?xml version="1.0" encoding="utf-8"?>
<formControlPr xmlns="http://schemas.microsoft.com/office/spreadsheetml/2009/9/main" objectType="Spin" dx="16" fmlaLink="$E$8" max="58" page="10" val="21"/>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Drop" dropLines="2" dropStyle="combo" dx="16" fmlaLink="'Variable Management'!$O$10" fmlaRange="'Variable Management'!$N$8:$N$9" noThreeD="1" sel="2" val="0"/>
</file>

<file path=xl/ctrlProps/ctrlProp8.xml><?xml version="1.0" encoding="utf-8"?>
<formControlPr xmlns="http://schemas.microsoft.com/office/spreadsheetml/2009/9/main" objectType="Drop" dropLines="5" dropStyle="combo" dx="16" fmlaLink="'Variable Management'!$U$12" fmlaRange="'Variable Management'!$T$8:$T$11" noThreeD="1" sel="1" val="0"/>
</file>

<file path=xl/ctrlProps/ctrlProp9.xml><?xml version="1.0" encoding="utf-8"?>
<formControlPr xmlns="http://schemas.microsoft.com/office/spreadsheetml/2009/9/main" objectType="Drop" dropLines="2" dropStyle="combo" dx="16" fmlaLink="'Variable Management'!$X$10" fmlaRange="'Variable Management'!$W$8:$W$9" noThreeD="1" sel="2" val="0"/>
</file>

<file path=xl/ctrlProps/ctrlProp10.xml><?xml version="1.0" encoding="utf-8"?>
<formControlPr xmlns="http://schemas.microsoft.com/office/spreadsheetml/2009/9/main" objectType="Spin" dx="16" fmlaLink="$J$63" max="100" min="5" page="10" val="60"/>
</file>

<file path=xl/ctrlProps/ctrlProp11.xml><?xml version="1.0" encoding="utf-8"?>
<formControlPr xmlns="http://schemas.microsoft.com/office/spreadsheetml/2009/9/main" objectType="Drop" dropLines="2" dropStyle="combo" dx="16" fmlaLink="'Variable Management'!$AA$10" fmlaRange="'Variable Management'!$Z$8:$Z$9" noThreeD="1" sel="1" val="0"/>
</file>

<file path=xl/ctrlProps/ctrlProp12.xml><?xml version="1.0" encoding="utf-8"?>
<formControlPr xmlns="http://schemas.microsoft.com/office/spreadsheetml/2009/9/main" objectType="Drop" dropLines="2" dropStyle="combo" dx="16" fmlaLink="'Variable Management'!$X$15" fmlaRange="'Variable Management'!$W$13:$W$14" noThreeD="1" sel="1" val="0"/>
</file>

<file path=xl/ctrlProps/ctrlProp13.xml><?xml version="1.0" encoding="utf-8"?>
<formControlPr xmlns="http://schemas.microsoft.com/office/spreadsheetml/2009/9/main" objectType="Drop" dropLines="5" dropStyle="combo" dx="16" fmlaLink="'Variable Management'!$Y$25" fmlaRange="'Variable Management'!$X$20:$X$24" noThreeD="1" sel="2" val="0"/>
</file>

<file path=xl/ctrlProps/ctrlProp14.xml><?xml version="1.0" encoding="utf-8"?>
<formControlPr xmlns="http://schemas.microsoft.com/office/spreadsheetml/2009/9/main" objectType="Drop" dropLines="2" dropStyle="combo" dx="16" fmlaLink="'Variable Management'!$AA$17" fmlaRange="'Variable Management'!$Z$15:$Z$1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automotive" TargetMode="External"/><Relationship Id="rId5" Type="http://schemas.openxmlformats.org/officeDocument/2006/relationships/image" Target="../media/image4.png"/><Relationship Id="rId4" Type="http://schemas.openxmlformats.org/officeDocument/2006/relationships/hyperlink" Target="http://www.ti.com/widevin"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11.emf"/></Relationships>
</file>

<file path=xl/drawings/_rels/drawing3.xml.rels><?xml version="1.0" encoding="UTF-8" standalone="yes"?>
<Relationships xmlns="http://schemas.openxmlformats.org/package/2006/relationships"><Relationship Id="rId2" Type="http://schemas.openxmlformats.org/officeDocument/2006/relationships/image" Target="../media/image14.jpg"/><Relationship Id="rId1" Type="http://schemas.openxmlformats.org/officeDocument/2006/relationships/image" Target="../media/image13.jpg"/></Relationships>
</file>

<file path=xl/drawings/_rels/drawing4.xml.rels><?xml version="1.0" encoding="UTF-8" standalone="yes"?>
<Relationships xmlns="http://schemas.openxmlformats.org/package/2006/relationships"><Relationship Id="rId2" Type="http://schemas.openxmlformats.org/officeDocument/2006/relationships/image" Target="../media/image16.jpg"/><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69</xdr:row>
          <xdr:rowOff>76200</xdr:rowOff>
        </xdr:from>
        <xdr:to>
          <xdr:col>2</xdr:col>
          <xdr:colOff>895350</xdr:colOff>
          <xdr:row>71</xdr:row>
          <xdr:rowOff>133350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314325</xdr:colOff>
          <xdr:row>69</xdr:row>
          <xdr:rowOff>76200</xdr:rowOff>
        </xdr:from>
        <xdr:to>
          <xdr:col>2</xdr:col>
          <xdr:colOff>895350</xdr:colOff>
          <xdr:row>71</xdr:row>
          <xdr:rowOff>133350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4819650</xdr:colOff>
          <xdr:row>0</xdr:row>
          <xdr:rowOff>476250</xdr:rowOff>
        </xdr:from>
        <xdr:to>
          <xdr:col>16</xdr:col>
          <xdr:colOff>5200650</xdr:colOff>
          <xdr:row>1</xdr:row>
          <xdr:rowOff>133350</xdr:rowOff>
        </xdr:to>
        <xdr:sp macro="" textlink="">
          <xdr:nvSpPr>
            <xdr:cNvPr id="700372" name="Drop Down 3028" hidden="1">
              <a:extLst>
                <a:ext uri="{63B3BB69-23CF-44E3-9099-C40C66FF867C}">
                  <a14:compatExt spid="_x0000_s700372"/>
                </a:ext>
                <a:ext uri="{FF2B5EF4-FFF2-40B4-BE49-F238E27FC236}">
                  <a16:creationId xmlns:a16="http://schemas.microsoft.com/office/drawing/2014/main" id="{00000000-0008-0000-0000-0000D4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72390</xdr:colOff>
          <xdr:row>42</xdr:row>
          <xdr:rowOff>118899</xdr:rowOff>
        </xdr:from>
        <xdr:to>
          <xdr:col>16</xdr:col>
          <xdr:colOff>5490210</xdr:colOff>
          <xdr:row>71</xdr:row>
          <xdr:rowOff>148987</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714361"/>
                </a:ext>
              </a:extLst>
            </xdr:cNvPicPr>
          </xdr:nvPicPr>
          <xdr:blipFill>
            <a:blip xmlns:r="http://schemas.openxmlformats.org/officeDocument/2006/relationships" r:embed="rId1"/>
            <a:srcRect/>
            <a:stretch>
              <a:fillRect/>
            </a:stretch>
          </xdr:blipFill>
          <xdr:spPr bwMode="auto">
            <a:xfrm>
              <a:off x="6781800" y="8472324"/>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232410</xdr:colOff>
          <xdr:row>78</xdr:row>
          <xdr:rowOff>111279</xdr:rowOff>
        </xdr:from>
        <xdr:to>
          <xdr:col>16</xdr:col>
          <xdr:colOff>5177790</xdr:colOff>
          <xdr:row>107</xdr:row>
          <xdr:rowOff>40988</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714362"/>
                </a:ext>
              </a:extLst>
            </xdr:cNvPicPr>
          </xdr:nvPicPr>
          <xdr:blipFill>
            <a:blip xmlns:r="http://schemas.openxmlformats.org/officeDocument/2006/relationships" r:embed="rId2"/>
            <a:srcRect/>
            <a:stretch>
              <a:fillRect/>
            </a:stretch>
          </xdr:blipFill>
          <xdr:spPr bwMode="auto">
            <a:xfrm>
              <a:off x="6457950" y="15301749"/>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12</xdr:col>
      <xdr:colOff>108883</xdr:colOff>
      <xdr:row>63</xdr:row>
      <xdr:rowOff>2861</xdr:rowOff>
    </xdr:from>
    <xdr:to>
      <xdr:col>15</xdr:col>
      <xdr:colOff>590549</xdr:colOff>
      <xdr:row>64</xdr:row>
      <xdr:rowOff>7620</xdr:rowOff>
    </xdr:to>
    <xdr:sp macro="" textlink="'Variable Management'!A365">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7888903" y="12141521"/>
          <a:ext cx="2356186" cy="195259"/>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30.6 kHz</a:t>
          </a:fld>
          <a:endParaRPr lang="en-US" sz="1100" b="1" i="0" u="none" strike="noStrike" baseline="0">
            <a:solidFill>
              <a:srgbClr val="FF0000"/>
            </a:solidFill>
            <a:latin typeface="Arial"/>
            <a:cs typeface="Arial"/>
          </a:endParaRPr>
        </a:p>
      </xdr:txBody>
    </xdr:sp>
    <xdr:clientData/>
  </xdr:twoCellAnchor>
  <xdr:twoCellAnchor>
    <xdr:from>
      <xdr:col>12</xdr:col>
      <xdr:colOff>138934</xdr:colOff>
      <xdr:row>64</xdr:row>
      <xdr:rowOff>150685</xdr:rowOff>
    </xdr:from>
    <xdr:to>
      <xdr:col>14</xdr:col>
      <xdr:colOff>354329</xdr:colOff>
      <xdr:row>65</xdr:row>
      <xdr:rowOff>165123</xdr:rowOff>
    </xdr:to>
    <xdr:sp macro="" textlink="'Variable Management'!A366">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7918954" y="12479845"/>
          <a:ext cx="1465075" cy="204938"/>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135°</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9525</xdr:colOff>
          <xdr:row>62</xdr:row>
          <xdr:rowOff>0</xdr:rowOff>
        </xdr:from>
        <xdr:to>
          <xdr:col>5</xdr:col>
          <xdr:colOff>180975</xdr:colOff>
          <xdr:row>62</xdr:row>
          <xdr:rowOff>180975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123825</xdr:colOff>
          <xdr:row>7</xdr:row>
          <xdr:rowOff>9525</xdr:rowOff>
        </xdr:from>
        <xdr:to>
          <xdr:col>5</xdr:col>
          <xdr:colOff>304800</xdr:colOff>
          <xdr:row>8</xdr:row>
          <xdr:rowOff>19050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371475</xdr:colOff>
          <xdr:row>77</xdr:row>
          <xdr:rowOff>28575</xdr:rowOff>
        </xdr:from>
        <xdr:to>
          <xdr:col>13</xdr:col>
          <xdr:colOff>428625</xdr:colOff>
          <xdr:row>78</xdr:row>
          <xdr:rowOff>104775</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1</xdr:col>
          <xdr:colOff>476250</xdr:colOff>
          <xdr:row>55</xdr:row>
          <xdr:rowOff>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72391</xdr:colOff>
          <xdr:row>4</xdr:row>
          <xdr:rowOff>114300</xdr:rowOff>
        </xdr:from>
        <xdr:to>
          <xdr:col>16</xdr:col>
          <xdr:colOff>5907543</xdr:colOff>
          <xdr:row>32</xdr:row>
          <xdr:rowOff>148590</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714363"/>
                </a:ext>
              </a:extLst>
            </xdr:cNvPicPr>
          </xdr:nvPicPr>
          <xdr:blipFill>
            <a:blip xmlns:r="http://schemas.openxmlformats.org/officeDocument/2006/relationships" r:embed="rId3"/>
            <a:srcRect/>
            <a:stretch>
              <a:fillRect/>
            </a:stretch>
          </xdr:blipFill>
          <xdr:spPr bwMode="auto">
            <a:xfrm>
              <a:off x="6781801" y="1257300"/>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oneCell">
    <xdr:from>
      <xdr:col>16</xdr:col>
      <xdr:colOff>3638551</xdr:colOff>
      <xdr:row>35</xdr:row>
      <xdr:rowOff>114300</xdr:rowOff>
    </xdr:from>
    <xdr:to>
      <xdr:col>16</xdr:col>
      <xdr:colOff>5900871</xdr:colOff>
      <xdr:row>43</xdr:row>
      <xdr:rowOff>111023</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696951" y="7086600"/>
          <a:ext cx="2258510" cy="1427378"/>
        </a:xfrm>
        <a:prstGeom prst="rect">
          <a:avLst/>
        </a:prstGeom>
      </xdr:spPr>
    </xdr:pic>
    <xdr:clientData/>
  </xdr:twoCellAnchor>
  <xdr:twoCellAnchor editAs="oneCell">
    <xdr:from>
      <xdr:col>16</xdr:col>
      <xdr:colOff>4082415</xdr:colOff>
      <xdr:row>0</xdr:row>
      <xdr:rowOff>0</xdr:rowOff>
    </xdr:from>
    <xdr:to>
      <xdr:col>17</xdr:col>
      <xdr:colOff>3810</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140815" y="0"/>
          <a:ext cx="1859280" cy="1162050"/>
        </a:xfrm>
        <a:prstGeom prst="rect">
          <a:avLst/>
        </a:prstGeom>
      </xdr:spPr>
    </xdr:pic>
    <xdr:clientData/>
  </xdr:twoCellAnchor>
  <xdr:twoCellAnchor editAs="oneCell">
    <xdr:from>
      <xdr:col>0</xdr:col>
      <xdr:colOff>9525</xdr:colOff>
      <xdr:row>0</xdr:row>
      <xdr:rowOff>9525</xdr:rowOff>
    </xdr:from>
    <xdr:to>
      <xdr:col>3</xdr:col>
      <xdr:colOff>148590</xdr:colOff>
      <xdr:row>1</xdr:row>
      <xdr:rowOff>1558</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514350</xdr:colOff>
          <xdr:row>5</xdr:row>
          <xdr:rowOff>9525</xdr:rowOff>
        </xdr:from>
        <xdr:to>
          <xdr:col>5</xdr:col>
          <xdr:colOff>95250</xdr:colOff>
          <xdr:row>6</xdr:row>
          <xdr:rowOff>9525</xdr:rowOff>
        </xdr:to>
        <xdr:sp macro="" textlink="">
          <xdr:nvSpPr>
            <xdr:cNvPr id="685346" name="Drop Down 1314" hidden="1">
              <a:extLst>
                <a:ext uri="{63B3BB69-23CF-44E3-9099-C40C66FF867C}">
                  <a14:compatExt spid="_x0000_s685346"/>
                </a:ext>
                <a:ext uri="{FF2B5EF4-FFF2-40B4-BE49-F238E27FC236}">
                  <a16:creationId xmlns:a16="http://schemas.microsoft.com/office/drawing/2014/main" id="{00000000-0008-0000-0000-00002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56</xdr:row>
          <xdr:rowOff>0</xdr:rowOff>
        </xdr:from>
        <xdr:to>
          <xdr:col>1</xdr:col>
          <xdr:colOff>76200</xdr:colOff>
          <xdr:row>56</xdr:row>
          <xdr:rowOff>180975</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62</xdr:row>
          <xdr:rowOff>0</xdr:rowOff>
        </xdr:from>
        <xdr:to>
          <xdr:col>10</xdr:col>
          <xdr:colOff>180975</xdr:colOff>
          <xdr:row>62</xdr:row>
          <xdr:rowOff>180975</xdr:rowOff>
        </xdr:to>
        <xdr:sp macro="" textlink="">
          <xdr:nvSpPr>
            <xdr:cNvPr id="685525" name="Spinner 1493" hidden="1">
              <a:extLst>
                <a:ext uri="{63B3BB69-23CF-44E3-9099-C40C66FF867C}">
                  <a14:compatExt spid="_x0000_s685525"/>
                </a:ext>
                <a:ext uri="{FF2B5EF4-FFF2-40B4-BE49-F238E27FC236}">
                  <a16:creationId xmlns:a16="http://schemas.microsoft.com/office/drawing/2014/main" id="{00000000-0008-0000-0000-0000D57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xdr:colOff>
          <xdr:row>41</xdr:row>
          <xdr:rowOff>76200</xdr:rowOff>
        </xdr:from>
        <xdr:to>
          <xdr:col>12</xdr:col>
          <xdr:colOff>333375</xdr:colOff>
          <xdr:row>43</xdr:row>
          <xdr:rowOff>0</xdr:rowOff>
        </xdr:to>
        <xdr:sp macro="" textlink="">
          <xdr:nvSpPr>
            <xdr:cNvPr id="685729" name="Drop Down 1697" hidden="1">
              <a:extLst>
                <a:ext uri="{63B3BB69-23CF-44E3-9099-C40C66FF867C}">
                  <a14:compatExt spid="_x0000_s685729"/>
                </a:ext>
                <a:ext uri="{FF2B5EF4-FFF2-40B4-BE49-F238E27FC236}">
                  <a16:creationId xmlns:a16="http://schemas.microsoft.com/office/drawing/2014/main" id="{00000000-0008-0000-0000-0000A1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3310890</xdr:colOff>
      <xdr:row>82</xdr:row>
      <xdr:rowOff>31269</xdr:rowOff>
    </xdr:from>
    <xdr:to>
      <xdr:col>16</xdr:col>
      <xdr:colOff>3732833</xdr:colOff>
      <xdr:row>83</xdr:row>
      <xdr:rowOff>78894</xdr:rowOff>
    </xdr:to>
    <xdr:sp macro="" textlink="'Variable Management'!$B$36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658850" y="1590372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73%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16</xdr:col>
      <xdr:colOff>428625</xdr:colOff>
      <xdr:row>82</xdr:row>
      <xdr:rowOff>14124</xdr:rowOff>
    </xdr:from>
    <xdr:to>
      <xdr:col>16</xdr:col>
      <xdr:colOff>850568</xdr:colOff>
      <xdr:row>83</xdr:row>
      <xdr:rowOff>61749</xdr:rowOff>
    </xdr:to>
    <xdr:sp macro="" textlink="'Variable Management'!$B$36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10487025" y="15997074"/>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68.7%</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xdr:colOff>
          <xdr:row>102</xdr:row>
          <xdr:rowOff>0</xdr:rowOff>
        </xdr:from>
        <xdr:to>
          <xdr:col>2</xdr:col>
          <xdr:colOff>9525</xdr:colOff>
          <xdr:row>103</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42832</xdr:colOff>
      <xdr:row>13</xdr:row>
      <xdr:rowOff>187081</xdr:rowOff>
    </xdr:from>
    <xdr:to>
      <xdr:col>12</xdr:col>
      <xdr:colOff>422364</xdr:colOff>
      <xdr:row>14</xdr:row>
      <xdr:rowOff>185951</xdr:rowOff>
    </xdr:to>
    <xdr:sp macro="" textlink="">
      <xdr:nvSpPr>
        <xdr:cNvPr id="25" name="Text Box 228">
          <a:extLst>
            <a:ext uri="{FF2B5EF4-FFF2-40B4-BE49-F238E27FC236}">
              <a16:creationId xmlns:a16="http://schemas.microsoft.com/office/drawing/2014/main" id="{00000000-0008-0000-0000-000019000000}"/>
            </a:ext>
          </a:extLst>
        </xdr:cNvPr>
        <xdr:cNvSpPr txBox="1">
          <a:spLocks noChangeArrowheads="1"/>
        </xdr:cNvSpPr>
      </xdr:nvSpPr>
      <xdr:spPr bwMode="auto">
        <a:xfrm>
          <a:off x="7603301" y="3009577"/>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16</xdr:col>
      <xdr:colOff>1752817</xdr:colOff>
      <xdr:row>30</xdr:row>
      <xdr:rowOff>73084</xdr:rowOff>
    </xdr:from>
    <xdr:to>
      <xdr:col>16</xdr:col>
      <xdr:colOff>2134593</xdr:colOff>
      <xdr:row>31</xdr:row>
      <xdr:rowOff>149137</xdr:rowOff>
    </xdr:to>
    <xdr:sp macro="" textlink="">
      <xdr:nvSpPr>
        <xdr:cNvPr id="26" name="Text Box 233">
          <a:extLst>
            <a:ext uri="{FF2B5EF4-FFF2-40B4-BE49-F238E27FC236}">
              <a16:creationId xmlns:a16="http://schemas.microsoft.com/office/drawing/2014/main" id="{00000000-0008-0000-0000-00001A000000}"/>
            </a:ext>
          </a:extLst>
        </xdr:cNvPr>
        <xdr:cNvSpPr txBox="1">
          <a:spLocks noChangeArrowheads="1"/>
        </xdr:cNvSpPr>
      </xdr:nvSpPr>
      <xdr:spPr bwMode="auto">
        <a:xfrm>
          <a:off x="11806022" y="6193329"/>
          <a:ext cx="381776" cy="25304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12</xdr:col>
      <xdr:colOff>262686</xdr:colOff>
      <xdr:row>10</xdr:row>
      <xdr:rowOff>72746</xdr:rowOff>
    </xdr:from>
    <xdr:to>
      <xdr:col>12</xdr:col>
      <xdr:colOff>497022</xdr:colOff>
      <xdr:row>11</xdr:row>
      <xdr:rowOff>80682</xdr:rowOff>
    </xdr:to>
    <xdr:sp macro="" textlink="">
      <xdr:nvSpPr>
        <xdr:cNvPr id="27" name="Text Box 234">
          <a:extLst>
            <a:ext uri="{FF2B5EF4-FFF2-40B4-BE49-F238E27FC236}">
              <a16:creationId xmlns:a16="http://schemas.microsoft.com/office/drawing/2014/main" id="{00000000-0008-0000-0000-00001B000000}"/>
            </a:ext>
          </a:extLst>
        </xdr:cNvPr>
        <xdr:cNvSpPr txBox="1">
          <a:spLocks noChangeArrowheads="1"/>
        </xdr:cNvSpPr>
      </xdr:nvSpPr>
      <xdr:spPr bwMode="auto">
        <a:xfrm>
          <a:off x="7792565" y="2319913"/>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13</xdr:col>
      <xdr:colOff>117883</xdr:colOff>
      <xdr:row>11</xdr:row>
      <xdr:rowOff>34093</xdr:rowOff>
    </xdr:from>
    <xdr:to>
      <xdr:col>13</xdr:col>
      <xdr:colOff>458914</xdr:colOff>
      <xdr:row>12</xdr:row>
      <xdr:rowOff>117195</xdr:rowOff>
    </xdr:to>
    <xdr:sp macro="" textlink="">
      <xdr:nvSpPr>
        <xdr:cNvPr id="28" name="Text Box 235">
          <a:extLst>
            <a:ext uri="{FF2B5EF4-FFF2-40B4-BE49-F238E27FC236}">
              <a16:creationId xmlns:a16="http://schemas.microsoft.com/office/drawing/2014/main" id="{00000000-0008-0000-0000-00001C000000}"/>
            </a:ext>
          </a:extLst>
        </xdr:cNvPr>
        <xdr:cNvSpPr txBox="1">
          <a:spLocks noChangeArrowheads="1"/>
        </xdr:cNvSpPr>
      </xdr:nvSpPr>
      <xdr:spPr bwMode="auto">
        <a:xfrm>
          <a:off x="8269231" y="2471467"/>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13</xdr:col>
      <xdr:colOff>35233</xdr:colOff>
      <xdr:row>6</xdr:row>
      <xdr:rowOff>72153</xdr:rowOff>
    </xdr:from>
    <xdr:to>
      <xdr:col>13</xdr:col>
      <xdr:colOff>346839</xdr:colOff>
      <xdr:row>7</xdr:row>
      <xdr:rowOff>109804</xdr:rowOff>
    </xdr:to>
    <xdr:sp macro="" textlink="">
      <xdr:nvSpPr>
        <xdr:cNvPr id="29" name="Text Box 244">
          <a:extLst>
            <a:ext uri="{FF2B5EF4-FFF2-40B4-BE49-F238E27FC236}">
              <a16:creationId xmlns:a16="http://schemas.microsoft.com/office/drawing/2014/main" id="{00000000-0008-0000-0000-00001D000000}"/>
            </a:ext>
          </a:extLst>
        </xdr:cNvPr>
        <xdr:cNvSpPr txBox="1">
          <a:spLocks noChangeArrowheads="1"/>
        </xdr:cNvSpPr>
      </xdr:nvSpPr>
      <xdr:spPr bwMode="auto">
        <a:xfrm>
          <a:off x="8186728" y="1645683"/>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16</xdr:col>
      <xdr:colOff>2442684</xdr:colOff>
      <xdr:row>6</xdr:row>
      <xdr:rowOff>80340</xdr:rowOff>
    </xdr:from>
    <xdr:to>
      <xdr:col>16</xdr:col>
      <xdr:colOff>2856651</xdr:colOff>
      <xdr:row>7</xdr:row>
      <xdr:rowOff>156249</xdr:rowOff>
    </xdr:to>
    <xdr:sp macro="" textlink="">
      <xdr:nvSpPr>
        <xdr:cNvPr id="30" name="Text Box 248">
          <a:extLst>
            <a:ext uri="{FF2B5EF4-FFF2-40B4-BE49-F238E27FC236}">
              <a16:creationId xmlns:a16="http://schemas.microsoft.com/office/drawing/2014/main" id="{00000000-0008-0000-0000-00001E000000}"/>
            </a:ext>
          </a:extLst>
        </xdr:cNvPr>
        <xdr:cNvSpPr txBox="1">
          <a:spLocks noChangeArrowheads="1"/>
        </xdr:cNvSpPr>
      </xdr:nvSpPr>
      <xdr:spPr bwMode="auto">
        <a:xfrm>
          <a:off x="12484379" y="1668670"/>
          <a:ext cx="410157"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16</xdr:col>
      <xdr:colOff>3350540</xdr:colOff>
      <xdr:row>6</xdr:row>
      <xdr:rowOff>111235</xdr:rowOff>
    </xdr:from>
    <xdr:to>
      <xdr:col>16</xdr:col>
      <xdr:colOff>3730359</xdr:colOff>
      <xdr:row>8</xdr:row>
      <xdr:rowOff>2487</xdr:rowOff>
    </xdr:to>
    <xdr:sp macro="" textlink="">
      <xdr:nvSpPr>
        <xdr:cNvPr id="31" name="Text Box 249">
          <a:extLst>
            <a:ext uri="{FF2B5EF4-FFF2-40B4-BE49-F238E27FC236}">
              <a16:creationId xmlns:a16="http://schemas.microsoft.com/office/drawing/2014/main" id="{00000000-0008-0000-0000-00001F000000}"/>
            </a:ext>
          </a:extLst>
        </xdr:cNvPr>
        <xdr:cNvSpPr txBox="1">
          <a:spLocks noChangeArrowheads="1"/>
        </xdr:cNvSpPr>
      </xdr:nvSpPr>
      <xdr:spPr bwMode="auto">
        <a:xfrm>
          <a:off x="13388425" y="1674800"/>
          <a:ext cx="376009" cy="24734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14</xdr:col>
      <xdr:colOff>453474</xdr:colOff>
      <xdr:row>28</xdr:row>
      <xdr:rowOff>42228</xdr:rowOff>
    </xdr:from>
    <xdr:to>
      <xdr:col>15</xdr:col>
      <xdr:colOff>73984</xdr:colOff>
      <xdr:row>29</xdr:row>
      <xdr:rowOff>110260</xdr:rowOff>
    </xdr:to>
    <xdr:sp macro="" textlink="">
      <xdr:nvSpPr>
        <xdr:cNvPr id="33" name="Text Box 256">
          <a:extLst>
            <a:ext uri="{FF2B5EF4-FFF2-40B4-BE49-F238E27FC236}">
              <a16:creationId xmlns:a16="http://schemas.microsoft.com/office/drawing/2014/main" id="{00000000-0008-0000-0000-000021000000}"/>
            </a:ext>
          </a:extLst>
        </xdr:cNvPr>
        <xdr:cNvSpPr txBox="1">
          <a:spLocks noChangeArrowheads="1"/>
        </xdr:cNvSpPr>
      </xdr:nvSpPr>
      <xdr:spPr bwMode="auto">
        <a:xfrm>
          <a:off x="9213140" y="5806282"/>
          <a:ext cx="242969" cy="2197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14</xdr:col>
      <xdr:colOff>148265</xdr:colOff>
      <xdr:row>24</xdr:row>
      <xdr:rowOff>36809</xdr:rowOff>
    </xdr:from>
    <xdr:to>
      <xdr:col>14</xdr:col>
      <xdr:colOff>453242</xdr:colOff>
      <xdr:row>25</xdr:row>
      <xdr:rowOff>73202</xdr:rowOff>
    </xdr:to>
    <xdr:sp macro="" textlink="">
      <xdr:nvSpPr>
        <xdr:cNvPr id="34" name="Text Box 257">
          <a:extLst>
            <a:ext uri="{FF2B5EF4-FFF2-40B4-BE49-F238E27FC236}">
              <a16:creationId xmlns:a16="http://schemas.microsoft.com/office/drawing/2014/main" id="{00000000-0008-0000-0000-000022000000}"/>
            </a:ext>
          </a:extLst>
        </xdr:cNvPr>
        <xdr:cNvSpPr txBox="1">
          <a:spLocks noChangeArrowheads="1"/>
        </xdr:cNvSpPr>
      </xdr:nvSpPr>
      <xdr:spPr bwMode="auto">
        <a:xfrm>
          <a:off x="8913646" y="4982665"/>
          <a:ext cx="314502" cy="245229"/>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568221</xdr:colOff>
      <xdr:row>24</xdr:row>
      <xdr:rowOff>79452</xdr:rowOff>
    </xdr:from>
    <xdr:to>
      <xdr:col>15</xdr:col>
      <xdr:colOff>263075</xdr:colOff>
      <xdr:row>25</xdr:row>
      <xdr:rowOff>79559</xdr:rowOff>
    </xdr:to>
    <xdr:sp macro="" textlink="">
      <xdr:nvSpPr>
        <xdr:cNvPr id="35" name="Text Box 258">
          <a:extLst>
            <a:ext uri="{FF2B5EF4-FFF2-40B4-BE49-F238E27FC236}">
              <a16:creationId xmlns:a16="http://schemas.microsoft.com/office/drawing/2014/main" id="{00000000-0008-0000-0000-000023000000}"/>
            </a:ext>
          </a:extLst>
        </xdr:cNvPr>
        <xdr:cNvSpPr txBox="1">
          <a:spLocks noChangeArrowheads="1"/>
        </xdr:cNvSpPr>
      </xdr:nvSpPr>
      <xdr:spPr bwMode="auto">
        <a:xfrm>
          <a:off x="9329792" y="5032928"/>
          <a:ext cx="307788" cy="22037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231806</xdr:colOff>
      <xdr:row>29</xdr:row>
      <xdr:rowOff>34272</xdr:rowOff>
    </xdr:from>
    <xdr:to>
      <xdr:col>15</xdr:col>
      <xdr:colOff>71463</xdr:colOff>
      <xdr:row>30</xdr:row>
      <xdr:rowOff>41627</xdr:rowOff>
    </xdr:to>
    <xdr:sp macro="" textlink="'Variable Management'!B355">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9016237" y="5967156"/>
          <a:ext cx="420206" cy="223811"/>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530283</xdr:colOff>
      <xdr:row>25</xdr:row>
      <xdr:rowOff>72930</xdr:rowOff>
    </xdr:from>
    <xdr:to>
      <xdr:col>15</xdr:col>
      <xdr:colOff>377634</xdr:colOff>
      <xdr:row>26</xdr:row>
      <xdr:rowOff>37183</xdr:rowOff>
    </xdr:to>
    <xdr:sp macro="" textlink="'Variable Management'!B353">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9293759" y="5227622"/>
          <a:ext cx="458380" cy="224524"/>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0.98kΩ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228660</xdr:colOff>
      <xdr:row>20</xdr:row>
      <xdr:rowOff>34262</xdr:rowOff>
    </xdr:from>
    <xdr:to>
      <xdr:col>15</xdr:col>
      <xdr:colOff>301040</xdr:colOff>
      <xdr:row>21</xdr:row>
      <xdr:rowOff>118094</xdr:rowOff>
    </xdr:to>
    <xdr:sp macro="" textlink="'Variable Management'!B380">
      <xdr:nvSpPr>
        <xdr:cNvPr id="38" name="Text Box 265">
          <a:extLst>
            <a:ext uri="{FF2B5EF4-FFF2-40B4-BE49-F238E27FC236}">
              <a16:creationId xmlns:a16="http://schemas.microsoft.com/office/drawing/2014/main" id="{00000000-0008-0000-0000-000026000000}"/>
            </a:ext>
          </a:extLst>
        </xdr:cNvPr>
        <xdr:cNvSpPr txBox="1">
          <a:spLocks noChangeArrowheads="1" noTextEdit="1"/>
        </xdr:cNvSpPr>
      </xdr:nvSpPr>
      <xdr:spPr bwMode="auto">
        <a:xfrm>
          <a:off x="9003566" y="4290746"/>
          <a:ext cx="679599" cy="264093"/>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11</xdr:col>
      <xdr:colOff>644401</xdr:colOff>
      <xdr:row>14</xdr:row>
      <xdr:rowOff>185995</xdr:rowOff>
    </xdr:from>
    <xdr:to>
      <xdr:col>12</xdr:col>
      <xdr:colOff>308730</xdr:colOff>
      <xdr:row>15</xdr:row>
      <xdr:rowOff>156899</xdr:rowOff>
    </xdr:to>
    <xdr:sp macro="" textlink="'Variable Management'!B345">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7365241" y="3213040"/>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5µF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42238</xdr:colOff>
      <xdr:row>13</xdr:row>
      <xdr:rowOff>72038</xdr:rowOff>
    </xdr:from>
    <xdr:to>
      <xdr:col>13</xdr:col>
      <xdr:colOff>496636</xdr:colOff>
      <xdr:row>14</xdr:row>
      <xdr:rowOff>71581</xdr:rowOff>
    </xdr:to>
    <xdr:sp macro="" textlink="'Variable Management'!B33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8197396" y="2854071"/>
          <a:ext cx="446778" cy="209825"/>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0.68µH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605900</xdr:colOff>
      <xdr:row>7</xdr:row>
      <xdr:rowOff>76080</xdr:rowOff>
    </xdr:from>
    <xdr:to>
      <xdr:col>13</xdr:col>
      <xdr:colOff>458625</xdr:colOff>
      <xdr:row>8</xdr:row>
      <xdr:rowOff>118821</xdr:rowOff>
    </xdr:to>
    <xdr:sp macro="" textlink="'Variable Management'!B349">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8145890" y="1838205"/>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500001</xdr:colOff>
      <xdr:row>31</xdr:row>
      <xdr:rowOff>80936</xdr:rowOff>
    </xdr:from>
    <xdr:to>
      <xdr:col>16</xdr:col>
      <xdr:colOff>949074</xdr:colOff>
      <xdr:row>32</xdr:row>
      <xdr:rowOff>73213</xdr:rowOff>
    </xdr:to>
    <xdr:sp macro="" textlink="'Variable Management'!B381">
      <xdr:nvSpPr>
        <xdr:cNvPr id="42" name="Text Box 281">
          <a:extLst>
            <a:ext uri="{FF2B5EF4-FFF2-40B4-BE49-F238E27FC236}">
              <a16:creationId xmlns:a16="http://schemas.microsoft.com/office/drawing/2014/main" id="{00000000-0008-0000-0000-00002A000000}"/>
            </a:ext>
          </a:extLst>
        </xdr:cNvPr>
        <xdr:cNvSpPr txBox="1">
          <a:spLocks noChangeArrowheads="1" noTextEdit="1"/>
        </xdr:cNvSpPr>
      </xdr:nvSpPr>
      <xdr:spPr bwMode="auto">
        <a:xfrm>
          <a:off x="10562731" y="6399128"/>
          <a:ext cx="437643" cy="237676"/>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414850</xdr:colOff>
      <xdr:row>12</xdr:row>
      <xdr:rowOff>79996</xdr:rowOff>
    </xdr:from>
    <xdr:to>
      <xdr:col>11</xdr:col>
      <xdr:colOff>385209</xdr:colOff>
      <xdr:row>13</xdr:row>
      <xdr:rowOff>156968</xdr:rowOff>
    </xdr:to>
    <xdr:sp macro="" textlink="'Variable Management'!B343">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6616944" y="2708749"/>
          <a:ext cx="483537" cy="24168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3.3V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10</xdr:col>
      <xdr:colOff>421835</xdr:colOff>
      <xdr:row>13</xdr:row>
      <xdr:rowOff>117471</xdr:rowOff>
    </xdr:from>
    <xdr:to>
      <xdr:col>11</xdr:col>
      <xdr:colOff>377998</xdr:colOff>
      <xdr:row>14</xdr:row>
      <xdr:rowOff>148570</xdr:rowOff>
    </xdr:to>
    <xdr:sp macro="" textlink="'Variable Management'!B386">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6627739" y="2912839"/>
          <a:ext cx="457911" cy="243286"/>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4A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14</xdr:col>
      <xdr:colOff>499564</xdr:colOff>
      <xdr:row>18</xdr:row>
      <xdr:rowOff>71593</xdr:rowOff>
    </xdr:from>
    <xdr:to>
      <xdr:col>15</xdr:col>
      <xdr:colOff>155886</xdr:colOff>
      <xdr:row>19</xdr:row>
      <xdr:rowOff>74813</xdr:rowOff>
    </xdr:to>
    <xdr:sp macro="" textlink="">
      <xdr:nvSpPr>
        <xdr:cNvPr id="45" name="Text Box 251">
          <a:extLst>
            <a:ext uri="{FF2B5EF4-FFF2-40B4-BE49-F238E27FC236}">
              <a16:creationId xmlns:a16="http://schemas.microsoft.com/office/drawing/2014/main" id="{00000000-0008-0000-0000-00002D000000}"/>
            </a:ext>
          </a:extLst>
        </xdr:cNvPr>
        <xdr:cNvSpPr txBox="1">
          <a:spLocks noChangeArrowheads="1"/>
        </xdr:cNvSpPr>
      </xdr:nvSpPr>
      <xdr:spPr bwMode="auto">
        <a:xfrm>
          <a:off x="9282090" y="3968032"/>
          <a:ext cx="263541" cy="1930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16</xdr:col>
      <xdr:colOff>3043321</xdr:colOff>
      <xdr:row>10</xdr:row>
      <xdr:rowOff>3704</xdr:rowOff>
    </xdr:from>
    <xdr:to>
      <xdr:col>16</xdr:col>
      <xdr:colOff>3502303</xdr:colOff>
      <xdr:row>11</xdr:row>
      <xdr:rowOff>34574</xdr:rowOff>
    </xdr:to>
    <xdr:sp macro="" textlink="">
      <xdr:nvSpPr>
        <xdr:cNvPr id="46" name="Text Box 247">
          <a:extLst>
            <a:ext uri="{FF2B5EF4-FFF2-40B4-BE49-F238E27FC236}">
              <a16:creationId xmlns:a16="http://schemas.microsoft.com/office/drawing/2014/main" id="{00000000-0008-0000-0000-00002E000000}"/>
            </a:ext>
          </a:extLst>
        </xdr:cNvPr>
        <xdr:cNvSpPr txBox="1">
          <a:spLocks noChangeArrowheads="1"/>
        </xdr:cNvSpPr>
      </xdr:nvSpPr>
      <xdr:spPr bwMode="auto">
        <a:xfrm>
          <a:off x="13086957" y="2295657"/>
          <a:ext cx="462792"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13</xdr:col>
      <xdr:colOff>305354</xdr:colOff>
      <xdr:row>14</xdr:row>
      <xdr:rowOff>117699</xdr:rowOff>
    </xdr:from>
    <xdr:to>
      <xdr:col>14</xdr:col>
      <xdr:colOff>33379</xdr:colOff>
      <xdr:row>15</xdr:row>
      <xdr:rowOff>147684</xdr:rowOff>
    </xdr:to>
    <xdr:sp macro="" textlink="">
      <xdr:nvSpPr>
        <xdr:cNvPr id="47" name="Text Box 244">
          <a:extLst>
            <a:ext uri="{FF2B5EF4-FFF2-40B4-BE49-F238E27FC236}">
              <a16:creationId xmlns:a16="http://schemas.microsoft.com/office/drawing/2014/main" id="{00000000-0008-0000-0000-00002F000000}"/>
            </a:ext>
          </a:extLst>
        </xdr:cNvPr>
        <xdr:cNvSpPr txBox="1">
          <a:spLocks noChangeArrowheads="1"/>
        </xdr:cNvSpPr>
      </xdr:nvSpPr>
      <xdr:spPr bwMode="auto">
        <a:xfrm>
          <a:off x="8452892" y="3129064"/>
          <a:ext cx="320920" cy="24232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13</xdr:col>
      <xdr:colOff>461218</xdr:colOff>
      <xdr:row>10</xdr:row>
      <xdr:rowOff>187181</xdr:rowOff>
    </xdr:from>
    <xdr:to>
      <xdr:col>14</xdr:col>
      <xdr:colOff>186464</xdr:colOff>
      <xdr:row>12</xdr:row>
      <xdr:rowOff>77208</xdr:rowOff>
    </xdr:to>
    <xdr:sp macro="" textlink="">
      <xdr:nvSpPr>
        <xdr:cNvPr id="48" name="Text Box 244">
          <a:extLst>
            <a:ext uri="{FF2B5EF4-FFF2-40B4-BE49-F238E27FC236}">
              <a16:creationId xmlns:a16="http://schemas.microsoft.com/office/drawing/2014/main" id="{00000000-0008-0000-0000-000030000000}"/>
            </a:ext>
          </a:extLst>
        </xdr:cNvPr>
        <xdr:cNvSpPr txBox="1">
          <a:spLocks noChangeArrowheads="1"/>
        </xdr:cNvSpPr>
      </xdr:nvSpPr>
      <xdr:spPr bwMode="auto">
        <a:xfrm>
          <a:off x="8616376" y="2436253"/>
          <a:ext cx="318141" cy="26399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12</xdr:col>
      <xdr:colOff>148033</xdr:colOff>
      <xdr:row>11</xdr:row>
      <xdr:rowOff>41597</xdr:rowOff>
    </xdr:from>
    <xdr:to>
      <xdr:col>13</xdr:col>
      <xdr:colOff>34618</xdr:colOff>
      <xdr:row>12</xdr:row>
      <xdr:rowOff>148829</xdr:rowOff>
    </xdr:to>
    <xdr:sp macro="" textlink="'Variable Management'!B34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7683627" y="2501831"/>
          <a:ext cx="479479"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3386703</xdr:colOff>
      <xdr:row>7</xdr:row>
      <xdr:rowOff>149468</xdr:rowOff>
    </xdr:from>
    <xdr:to>
      <xdr:col>16</xdr:col>
      <xdr:colOff>3814436</xdr:colOff>
      <xdr:row>9</xdr:row>
      <xdr:rowOff>37570</xdr:rowOff>
    </xdr:to>
    <xdr:sp macro="" textlink="">
      <xdr:nvSpPr>
        <xdr:cNvPr id="50" name="Text Box 279">
          <a:extLst>
            <a:ext uri="{FF2B5EF4-FFF2-40B4-BE49-F238E27FC236}">
              <a16:creationId xmlns:a16="http://schemas.microsoft.com/office/drawing/2014/main" id="{00000000-0008-0000-0000-000032000000}"/>
            </a:ext>
          </a:extLst>
        </xdr:cNvPr>
        <xdr:cNvSpPr txBox="1">
          <a:spLocks noChangeArrowheads="1"/>
        </xdr:cNvSpPr>
      </xdr:nvSpPr>
      <xdr:spPr bwMode="auto">
        <a:xfrm>
          <a:off x="13430339" y="1921594"/>
          <a:ext cx="450593" cy="23528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3805960</xdr:colOff>
      <xdr:row>14</xdr:row>
      <xdr:rowOff>80110</xdr:rowOff>
    </xdr:from>
    <xdr:to>
      <xdr:col>16</xdr:col>
      <xdr:colOff>4072217</xdr:colOff>
      <xdr:row>15</xdr:row>
      <xdr:rowOff>155947</xdr:rowOff>
    </xdr:to>
    <xdr:sp macro="" textlink="">
      <xdr:nvSpPr>
        <xdr:cNvPr id="51" name="Text Box 244">
          <a:extLst>
            <a:ext uri="{FF2B5EF4-FFF2-40B4-BE49-F238E27FC236}">
              <a16:creationId xmlns:a16="http://schemas.microsoft.com/office/drawing/2014/main" id="{00000000-0008-0000-0000-000033000000}"/>
            </a:ext>
          </a:extLst>
        </xdr:cNvPr>
        <xdr:cNvSpPr txBox="1">
          <a:spLocks noChangeArrowheads="1"/>
        </xdr:cNvSpPr>
      </xdr:nvSpPr>
      <xdr:spPr bwMode="auto">
        <a:xfrm>
          <a:off x="13830510" y="3095285"/>
          <a:ext cx="275782" cy="28817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16</xdr:col>
      <xdr:colOff>3806350</xdr:colOff>
      <xdr:row>10</xdr:row>
      <xdr:rowOff>186009</xdr:rowOff>
    </xdr:from>
    <xdr:to>
      <xdr:col>16</xdr:col>
      <xdr:colOff>4075733</xdr:colOff>
      <xdr:row>12</xdr:row>
      <xdr:rowOff>71857</xdr:rowOff>
    </xdr:to>
    <xdr:sp macro="" textlink="">
      <xdr:nvSpPr>
        <xdr:cNvPr id="52" name="Text Box 244">
          <a:extLst>
            <a:ext uri="{FF2B5EF4-FFF2-40B4-BE49-F238E27FC236}">
              <a16:creationId xmlns:a16="http://schemas.microsoft.com/office/drawing/2014/main" id="{00000000-0008-0000-0000-000034000000}"/>
            </a:ext>
          </a:extLst>
        </xdr:cNvPr>
        <xdr:cNvSpPr txBox="1">
          <a:spLocks noChangeArrowheads="1"/>
        </xdr:cNvSpPr>
      </xdr:nvSpPr>
      <xdr:spPr bwMode="auto">
        <a:xfrm>
          <a:off x="13836615" y="2427461"/>
          <a:ext cx="277003" cy="2617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14</xdr:col>
      <xdr:colOff>72303</xdr:colOff>
      <xdr:row>25</xdr:row>
      <xdr:rowOff>1677</xdr:rowOff>
    </xdr:from>
    <xdr:to>
      <xdr:col>14</xdr:col>
      <xdr:colOff>568294</xdr:colOff>
      <xdr:row>26</xdr:row>
      <xdr:rowOff>1239</xdr:rowOff>
    </xdr:to>
    <xdr:sp macro="" textlink="'Variable Management'!B354">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8825778" y="5135652"/>
          <a:ext cx="505516" cy="243402"/>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900" b="0" i="0" u="none" strike="noStrike" baseline="0">
              <a:solidFill>
                <a:srgbClr val="000000"/>
              </a:solidFill>
              <a:latin typeface="Arialri"/>
              <a:cs typeface="Arial" pitchFamily="34" charset="0"/>
            </a:rPr>
            <a:pPr algn="ctr" rtl="0">
              <a:defRPr sz="1000"/>
            </a:pPr>
            <a:t>27nF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110504</xdr:colOff>
      <xdr:row>5</xdr:row>
      <xdr:rowOff>117524</xdr:rowOff>
    </xdr:from>
    <xdr:to>
      <xdr:col>13</xdr:col>
      <xdr:colOff>492417</xdr:colOff>
      <xdr:row>7</xdr:row>
      <xdr:rowOff>3513</xdr:rowOff>
    </xdr:to>
    <xdr:sp macro="" textlink="'Variable Management'!B388">
      <xdr:nvSpPr>
        <xdr:cNvPr id="54" name="Text Box 283">
          <a:extLst>
            <a:ext uri="{FF2B5EF4-FFF2-40B4-BE49-F238E27FC236}">
              <a16:creationId xmlns:a16="http://schemas.microsoft.com/office/drawing/2014/main" id="{00000000-0008-0000-0000-000036000000}"/>
            </a:ext>
          </a:extLst>
        </xdr:cNvPr>
        <xdr:cNvSpPr txBox="1">
          <a:spLocks noChangeArrowheads="1" noTextEdit="1"/>
        </xdr:cNvSpPr>
      </xdr:nvSpPr>
      <xdr:spPr bwMode="auto">
        <a:xfrm>
          <a:off x="7644193" y="1504217"/>
          <a:ext cx="995762" cy="258051"/>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20V...26V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15</xdr:col>
      <xdr:colOff>415865</xdr:colOff>
      <xdr:row>6</xdr:row>
      <xdr:rowOff>72249</xdr:rowOff>
    </xdr:from>
    <xdr:to>
      <xdr:col>16</xdr:col>
      <xdr:colOff>147842</xdr:colOff>
      <xdr:row>7</xdr:row>
      <xdr:rowOff>148158</xdr:rowOff>
    </xdr:to>
    <xdr:sp macro="" textlink="">
      <xdr:nvSpPr>
        <xdr:cNvPr id="55" name="Text Box 248">
          <a:extLst>
            <a:ext uri="{FF2B5EF4-FFF2-40B4-BE49-F238E27FC236}">
              <a16:creationId xmlns:a16="http://schemas.microsoft.com/office/drawing/2014/main" id="{00000000-0008-0000-0000-000037000000}"/>
            </a:ext>
          </a:extLst>
        </xdr:cNvPr>
        <xdr:cNvSpPr txBox="1">
          <a:spLocks noChangeArrowheads="1"/>
        </xdr:cNvSpPr>
      </xdr:nvSpPr>
      <xdr:spPr bwMode="auto">
        <a:xfrm>
          <a:off x="9762528" y="1647244"/>
          <a:ext cx="407959"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16</xdr:col>
      <xdr:colOff>1786051</xdr:colOff>
      <xdr:row>31</xdr:row>
      <xdr:rowOff>41823</xdr:rowOff>
    </xdr:from>
    <xdr:to>
      <xdr:col>16</xdr:col>
      <xdr:colOff>2206048</xdr:colOff>
      <xdr:row>32</xdr:row>
      <xdr:rowOff>39813</xdr:rowOff>
    </xdr:to>
    <xdr:sp macro="" textlink="">
      <xdr:nvSpPr>
        <xdr:cNvPr id="56" name="Text Box 279">
          <a:extLst>
            <a:ext uri="{FF2B5EF4-FFF2-40B4-BE49-F238E27FC236}">
              <a16:creationId xmlns:a16="http://schemas.microsoft.com/office/drawing/2014/main" id="{00000000-0008-0000-0000-000038000000}"/>
            </a:ext>
          </a:extLst>
        </xdr:cNvPr>
        <xdr:cNvSpPr txBox="1">
          <a:spLocks noChangeArrowheads="1"/>
        </xdr:cNvSpPr>
      </xdr:nvSpPr>
      <xdr:spPr bwMode="auto">
        <a:xfrm>
          <a:off x="11827306" y="6328323"/>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14</xdr:col>
      <xdr:colOff>415616</xdr:colOff>
      <xdr:row>10</xdr:row>
      <xdr:rowOff>1830</xdr:rowOff>
    </xdr:from>
    <xdr:to>
      <xdr:col>15</xdr:col>
      <xdr:colOff>263093</xdr:colOff>
      <xdr:row>11</xdr:row>
      <xdr:rowOff>34605</xdr:rowOff>
    </xdr:to>
    <xdr:sp macro="" textlink="">
      <xdr:nvSpPr>
        <xdr:cNvPr id="57" name="Text Box 247">
          <a:extLst>
            <a:ext uri="{FF2B5EF4-FFF2-40B4-BE49-F238E27FC236}">
              <a16:creationId xmlns:a16="http://schemas.microsoft.com/office/drawing/2014/main" id="{00000000-0008-0000-0000-000039000000}"/>
            </a:ext>
          </a:extLst>
        </xdr:cNvPr>
        <xdr:cNvSpPr txBox="1">
          <a:spLocks noChangeArrowheads="1"/>
        </xdr:cNvSpPr>
      </xdr:nvSpPr>
      <xdr:spPr bwMode="auto">
        <a:xfrm>
          <a:off x="9175282" y="2293783"/>
          <a:ext cx="460411"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14</xdr:col>
      <xdr:colOff>186554</xdr:colOff>
      <xdr:row>6</xdr:row>
      <xdr:rowOff>109822</xdr:rowOff>
    </xdr:from>
    <xdr:to>
      <xdr:col>14</xdr:col>
      <xdr:colOff>568278</xdr:colOff>
      <xdr:row>8</xdr:row>
      <xdr:rowOff>2979</xdr:rowOff>
    </xdr:to>
    <xdr:sp macro="" textlink="">
      <xdr:nvSpPr>
        <xdr:cNvPr id="58" name="Text Box 249">
          <a:extLst>
            <a:ext uri="{FF2B5EF4-FFF2-40B4-BE49-F238E27FC236}">
              <a16:creationId xmlns:a16="http://schemas.microsoft.com/office/drawing/2014/main" id="{00000000-0008-0000-0000-00003A000000}"/>
            </a:ext>
          </a:extLst>
        </xdr:cNvPr>
        <xdr:cNvSpPr txBox="1">
          <a:spLocks noChangeArrowheads="1"/>
        </xdr:cNvSpPr>
      </xdr:nvSpPr>
      <xdr:spPr bwMode="auto">
        <a:xfrm>
          <a:off x="8957174" y="1683352"/>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14</xdr:col>
      <xdr:colOff>224343</xdr:colOff>
      <xdr:row>8</xdr:row>
      <xdr:rowOff>694</xdr:rowOff>
    </xdr:from>
    <xdr:to>
      <xdr:col>15</xdr:col>
      <xdr:colOff>42036</xdr:colOff>
      <xdr:row>9</xdr:row>
      <xdr:rowOff>72867</xdr:rowOff>
    </xdr:to>
    <xdr:sp macro="" textlink="">
      <xdr:nvSpPr>
        <xdr:cNvPr id="59" name="Text Box 279">
          <a:extLst>
            <a:ext uri="{FF2B5EF4-FFF2-40B4-BE49-F238E27FC236}">
              <a16:creationId xmlns:a16="http://schemas.microsoft.com/office/drawing/2014/main" id="{00000000-0008-0000-0000-00003B000000}"/>
            </a:ext>
          </a:extLst>
        </xdr:cNvPr>
        <xdr:cNvSpPr txBox="1">
          <a:spLocks noChangeArrowheads="1"/>
        </xdr:cNvSpPr>
      </xdr:nvSpPr>
      <xdr:spPr bwMode="auto">
        <a:xfrm>
          <a:off x="8979723" y="1930459"/>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4042037</xdr:colOff>
      <xdr:row>11</xdr:row>
      <xdr:rowOff>40979</xdr:rowOff>
    </xdr:from>
    <xdr:to>
      <xdr:col>16</xdr:col>
      <xdr:colOff>4384973</xdr:colOff>
      <xdr:row>12</xdr:row>
      <xdr:rowOff>148846</xdr:rowOff>
    </xdr:to>
    <xdr:sp macro="" textlink="">
      <xdr:nvSpPr>
        <xdr:cNvPr id="60" name="Text Box 235">
          <a:extLst>
            <a:ext uri="{FF2B5EF4-FFF2-40B4-BE49-F238E27FC236}">
              <a16:creationId xmlns:a16="http://schemas.microsoft.com/office/drawing/2014/main" id="{00000000-0008-0000-0000-00003C000000}"/>
            </a:ext>
          </a:extLst>
        </xdr:cNvPr>
        <xdr:cNvSpPr txBox="1">
          <a:spLocks noChangeArrowheads="1"/>
        </xdr:cNvSpPr>
      </xdr:nvSpPr>
      <xdr:spPr bwMode="auto">
        <a:xfrm>
          <a:off x="14087542" y="2499308"/>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3999803</xdr:colOff>
      <xdr:row>13</xdr:row>
      <xdr:rowOff>80829</xdr:rowOff>
    </xdr:from>
    <xdr:to>
      <xdr:col>16</xdr:col>
      <xdr:colOff>4454201</xdr:colOff>
      <xdr:row>14</xdr:row>
      <xdr:rowOff>79640</xdr:rowOff>
    </xdr:to>
    <xdr:sp macro="" textlink="'Variable Management'!D339">
      <xdr:nvSpPr>
        <xdr:cNvPr id="61" name="Text Box 275">
          <a:extLst>
            <a:ext uri="{FF2B5EF4-FFF2-40B4-BE49-F238E27FC236}">
              <a16:creationId xmlns:a16="http://schemas.microsoft.com/office/drawing/2014/main" id="{00000000-0008-0000-0000-00003D000000}"/>
            </a:ext>
          </a:extLst>
        </xdr:cNvPr>
        <xdr:cNvSpPr txBox="1">
          <a:spLocks noChangeArrowheads="1" noTextEdit="1"/>
        </xdr:cNvSpPr>
      </xdr:nvSpPr>
      <xdr:spPr bwMode="auto">
        <a:xfrm>
          <a:off x="14037688" y="2881912"/>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4606820</xdr:colOff>
      <xdr:row>10</xdr:row>
      <xdr:rowOff>110991</xdr:rowOff>
    </xdr:from>
    <xdr:to>
      <xdr:col>16</xdr:col>
      <xdr:colOff>4841156</xdr:colOff>
      <xdr:row>11</xdr:row>
      <xdr:rowOff>118927</xdr:rowOff>
    </xdr:to>
    <xdr:sp macro="" textlink="">
      <xdr:nvSpPr>
        <xdr:cNvPr id="62" name="Text Box 234">
          <a:extLst>
            <a:ext uri="{FF2B5EF4-FFF2-40B4-BE49-F238E27FC236}">
              <a16:creationId xmlns:a16="http://schemas.microsoft.com/office/drawing/2014/main" id="{00000000-0008-0000-0000-00003E000000}"/>
            </a:ext>
          </a:extLst>
        </xdr:cNvPr>
        <xdr:cNvSpPr txBox="1">
          <a:spLocks noChangeArrowheads="1"/>
        </xdr:cNvSpPr>
      </xdr:nvSpPr>
      <xdr:spPr bwMode="auto">
        <a:xfrm>
          <a:off x="14635180" y="2354348"/>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16</xdr:col>
      <xdr:colOff>4492167</xdr:colOff>
      <xdr:row>11</xdr:row>
      <xdr:rowOff>79842</xdr:rowOff>
    </xdr:from>
    <xdr:to>
      <xdr:col>16</xdr:col>
      <xdr:colOff>4986447</xdr:colOff>
      <xdr:row>13</xdr:row>
      <xdr:rowOff>3314</xdr:rowOff>
    </xdr:to>
    <xdr:sp macro="" textlink="'Variable Management'!D341">
      <xdr:nvSpPr>
        <xdr:cNvPr id="63" name="Text Box 275">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14526242" y="2536266"/>
          <a:ext cx="480945"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4873288</xdr:colOff>
      <xdr:row>13</xdr:row>
      <xdr:rowOff>185775</xdr:rowOff>
    </xdr:from>
    <xdr:to>
      <xdr:col>16</xdr:col>
      <xdr:colOff>5254725</xdr:colOff>
      <xdr:row>14</xdr:row>
      <xdr:rowOff>188455</xdr:rowOff>
    </xdr:to>
    <xdr:sp macro="" textlink="">
      <xdr:nvSpPr>
        <xdr:cNvPr id="64" name="Text Box 228">
          <a:extLst>
            <a:ext uri="{FF2B5EF4-FFF2-40B4-BE49-F238E27FC236}">
              <a16:creationId xmlns:a16="http://schemas.microsoft.com/office/drawing/2014/main" id="{00000000-0008-0000-0000-000040000000}"/>
            </a:ext>
          </a:extLst>
        </xdr:cNvPr>
        <xdr:cNvSpPr txBox="1">
          <a:spLocks noChangeArrowheads="1"/>
        </xdr:cNvSpPr>
      </xdr:nvSpPr>
      <xdr:spPr bwMode="auto">
        <a:xfrm>
          <a:off x="14915019" y="3015891"/>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4835366</xdr:colOff>
      <xdr:row>14</xdr:row>
      <xdr:rowOff>156519</xdr:rowOff>
    </xdr:from>
    <xdr:to>
      <xdr:col>16</xdr:col>
      <xdr:colOff>5261979</xdr:colOff>
      <xdr:row>15</xdr:row>
      <xdr:rowOff>151986</xdr:rowOff>
    </xdr:to>
    <xdr:sp macro="" textlink="'Variable Management'!D345">
      <xdr:nvSpPr>
        <xdr:cNvPr id="65" name="Text Box 267">
          <a:extLst>
            <a:ext uri="{FF2B5EF4-FFF2-40B4-BE49-F238E27FC236}">
              <a16:creationId xmlns:a16="http://schemas.microsoft.com/office/drawing/2014/main" id="{00000000-0008-0000-0000-000041000000}"/>
            </a:ext>
          </a:extLst>
        </xdr:cNvPr>
        <xdr:cNvSpPr txBox="1">
          <a:spLocks noChangeArrowheads="1" noTextEdit="1"/>
        </xdr:cNvSpPr>
      </xdr:nvSpPr>
      <xdr:spPr bwMode="auto">
        <a:xfrm>
          <a:off x="14888527" y="3225950"/>
          <a:ext cx="439948" cy="206208"/>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948697</xdr:colOff>
      <xdr:row>31</xdr:row>
      <xdr:rowOff>80937</xdr:rowOff>
    </xdr:from>
    <xdr:to>
      <xdr:col>16</xdr:col>
      <xdr:colOff>1374910</xdr:colOff>
      <xdr:row>32</xdr:row>
      <xdr:rowOff>75119</xdr:rowOff>
    </xdr:to>
    <xdr:sp macro="" textlink="'Variable Management'!B382">
      <xdr:nvSpPr>
        <xdr:cNvPr id="67" name="Text Box 281">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11003287" y="6365532"/>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5559695</xdr:colOff>
      <xdr:row>12</xdr:row>
      <xdr:rowOff>72456</xdr:rowOff>
    </xdr:from>
    <xdr:to>
      <xdr:col>17</xdr:col>
      <xdr:colOff>110509</xdr:colOff>
      <xdr:row>13</xdr:row>
      <xdr:rowOff>149428</xdr:rowOff>
    </xdr:to>
    <xdr:sp macro="" textlink="'Variable Management'!D343">
      <xdr:nvSpPr>
        <xdr:cNvPr id="68" name="Text Box 285">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15586150" y="2695494"/>
          <a:ext cx="479906" cy="24168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5V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16</xdr:col>
      <xdr:colOff>5558104</xdr:colOff>
      <xdr:row>13</xdr:row>
      <xdr:rowOff>115353</xdr:rowOff>
    </xdr:from>
    <xdr:to>
      <xdr:col>17</xdr:col>
      <xdr:colOff>77577</xdr:colOff>
      <xdr:row>14</xdr:row>
      <xdr:rowOff>148357</xdr:rowOff>
    </xdr:to>
    <xdr:sp macro="" textlink="'Variable Management'!D386">
      <xdr:nvSpPr>
        <xdr:cNvPr id="69" name="Text Box 286">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15595989" y="2906911"/>
          <a:ext cx="454280" cy="243286"/>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8A</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16</xdr:col>
      <xdr:colOff>1337211</xdr:colOff>
      <xdr:row>30</xdr:row>
      <xdr:rowOff>73084</xdr:rowOff>
    </xdr:from>
    <xdr:to>
      <xdr:col>16</xdr:col>
      <xdr:colOff>1671987</xdr:colOff>
      <xdr:row>31</xdr:row>
      <xdr:rowOff>148318</xdr:rowOff>
    </xdr:to>
    <xdr:sp macro="" textlink="">
      <xdr:nvSpPr>
        <xdr:cNvPr id="70" name="Text Box 251">
          <a:extLst>
            <a:ext uri="{FF2B5EF4-FFF2-40B4-BE49-F238E27FC236}">
              <a16:creationId xmlns:a16="http://schemas.microsoft.com/office/drawing/2014/main" id="{00000000-0008-0000-0000-000046000000}"/>
            </a:ext>
          </a:extLst>
        </xdr:cNvPr>
        <xdr:cNvSpPr txBox="1">
          <a:spLocks noChangeArrowheads="1"/>
        </xdr:cNvSpPr>
      </xdr:nvSpPr>
      <xdr:spPr bwMode="auto">
        <a:xfrm>
          <a:off x="11403707" y="6197659"/>
          <a:ext cx="327156" cy="26121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16</xdr:col>
      <xdr:colOff>1329705</xdr:colOff>
      <xdr:row>31</xdr:row>
      <xdr:rowOff>79790</xdr:rowOff>
    </xdr:from>
    <xdr:to>
      <xdr:col>16</xdr:col>
      <xdr:colOff>1755918</xdr:colOff>
      <xdr:row>32</xdr:row>
      <xdr:rowOff>75877</xdr:rowOff>
    </xdr:to>
    <xdr:sp macro="" textlink="'Variable Management'!B38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84295" y="6366290"/>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3431895</xdr:colOff>
      <xdr:row>24</xdr:row>
      <xdr:rowOff>194921</xdr:rowOff>
    </xdr:from>
    <xdr:to>
      <xdr:col>16</xdr:col>
      <xdr:colOff>3958366</xdr:colOff>
      <xdr:row>25</xdr:row>
      <xdr:rowOff>225990</xdr:rowOff>
    </xdr:to>
    <xdr:sp macro="" textlink="'Variable Management'!D354">
      <xdr:nvSpPr>
        <xdr:cNvPr id="73" name="Text Box 261">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3502201" y="5144587"/>
          <a:ext cx="505516" cy="248716"/>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18nF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2938006</xdr:colOff>
      <xdr:row>25</xdr:row>
      <xdr:rowOff>33343</xdr:rowOff>
    </xdr:from>
    <xdr:to>
      <xdr:col>16</xdr:col>
      <xdr:colOff>3425437</xdr:colOff>
      <xdr:row>26</xdr:row>
      <xdr:rowOff>4155</xdr:rowOff>
    </xdr:to>
    <xdr:sp macro="" textlink="'Variable Management'!D353">
      <xdr:nvSpPr>
        <xdr:cNvPr id="75" name="Text Box 263">
          <a:extLst>
            <a:ext uri="{FF2B5EF4-FFF2-40B4-BE49-F238E27FC236}">
              <a16:creationId xmlns:a16="http://schemas.microsoft.com/office/drawing/2014/main" id="{00000000-0008-0000-0000-00004B000000}"/>
            </a:ext>
          </a:extLst>
        </xdr:cNvPr>
        <xdr:cNvSpPr txBox="1">
          <a:spLocks noChangeArrowheads="1" noTextEdit="1"/>
        </xdr:cNvSpPr>
      </xdr:nvSpPr>
      <xdr:spPr bwMode="auto">
        <a:xfrm>
          <a:off x="13008312" y="5179224"/>
          <a:ext cx="460761" cy="241799"/>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1.47kΩ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3196325</xdr:colOff>
      <xdr:row>29</xdr:row>
      <xdr:rowOff>71548</xdr:rowOff>
    </xdr:from>
    <xdr:to>
      <xdr:col>16</xdr:col>
      <xdr:colOff>3616531</xdr:colOff>
      <xdr:row>30</xdr:row>
      <xdr:rowOff>76687</xdr:rowOff>
    </xdr:to>
    <xdr:sp macro="" textlink="'Variable Management'!D355">
      <xdr:nvSpPr>
        <xdr:cNvPr id="77" name="Text Box 262">
          <a:extLst>
            <a:ext uri="{FF2B5EF4-FFF2-40B4-BE49-F238E27FC236}">
              <a16:creationId xmlns:a16="http://schemas.microsoft.com/office/drawing/2014/main" id="{00000000-0008-0000-0000-00004D000000}"/>
            </a:ext>
          </a:extLst>
        </xdr:cNvPr>
        <xdr:cNvSpPr txBox="1">
          <a:spLocks noChangeArrowheads="1" noTextEdit="1"/>
        </xdr:cNvSpPr>
      </xdr:nvSpPr>
      <xdr:spPr bwMode="auto">
        <a:xfrm>
          <a:off x="13257106" y="6000622"/>
          <a:ext cx="420206" cy="220881"/>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100pF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3471376</xdr:colOff>
      <xdr:row>21</xdr:row>
      <xdr:rowOff>110048</xdr:rowOff>
    </xdr:from>
    <xdr:to>
      <xdr:col>16</xdr:col>
      <xdr:colOff>3847385</xdr:colOff>
      <xdr:row>23</xdr:row>
      <xdr:rowOff>4524</xdr:rowOff>
    </xdr:to>
    <xdr:sp macro="" textlink="">
      <xdr:nvSpPr>
        <xdr:cNvPr id="78" name="Text Box 249">
          <a:extLst>
            <a:ext uri="{FF2B5EF4-FFF2-40B4-BE49-F238E27FC236}">
              <a16:creationId xmlns:a16="http://schemas.microsoft.com/office/drawing/2014/main" id="{00000000-0008-0000-0000-00004E000000}"/>
            </a:ext>
          </a:extLst>
        </xdr:cNvPr>
        <xdr:cNvSpPr txBox="1">
          <a:spLocks noChangeArrowheads="1"/>
        </xdr:cNvSpPr>
      </xdr:nvSpPr>
      <xdr:spPr bwMode="auto">
        <a:xfrm>
          <a:off x="13529776" y="4501073"/>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16</xdr:col>
      <xdr:colOff>3501817</xdr:colOff>
      <xdr:row>22</xdr:row>
      <xdr:rowOff>148004</xdr:rowOff>
    </xdr:from>
    <xdr:to>
      <xdr:col>16</xdr:col>
      <xdr:colOff>3958125</xdr:colOff>
      <xdr:row>24</xdr:row>
      <xdr:rowOff>34513</xdr:rowOff>
    </xdr:to>
    <xdr:sp macro="" textlink="">
      <xdr:nvSpPr>
        <xdr:cNvPr id="79" name="Text Box 279">
          <a:extLst>
            <a:ext uri="{FF2B5EF4-FFF2-40B4-BE49-F238E27FC236}">
              <a16:creationId xmlns:a16="http://schemas.microsoft.com/office/drawing/2014/main" id="{00000000-0008-0000-0000-00004F000000}"/>
            </a:ext>
          </a:extLst>
        </xdr:cNvPr>
        <xdr:cNvSpPr txBox="1">
          <a:spLocks noChangeArrowheads="1"/>
        </xdr:cNvSpPr>
      </xdr:nvSpPr>
      <xdr:spPr bwMode="auto">
        <a:xfrm>
          <a:off x="13546882" y="4708574"/>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2366067</xdr:colOff>
      <xdr:row>29</xdr:row>
      <xdr:rowOff>117387</xdr:rowOff>
    </xdr:from>
    <xdr:to>
      <xdr:col>16</xdr:col>
      <xdr:colOff>2855889</xdr:colOff>
      <xdr:row>30</xdr:row>
      <xdr:rowOff>110112</xdr:rowOff>
    </xdr:to>
    <xdr:sp macro="" textlink="'Variable Management'!B362">
      <xdr:nvSpPr>
        <xdr:cNvPr id="80" name="Text Box 26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12428753" y="6053367"/>
          <a:ext cx="487917" cy="186321"/>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2395696</xdr:colOff>
      <xdr:row>28</xdr:row>
      <xdr:rowOff>73084</xdr:rowOff>
    </xdr:from>
    <xdr:to>
      <xdr:col>16</xdr:col>
      <xdr:colOff>2777472</xdr:colOff>
      <xdr:row>29</xdr:row>
      <xdr:rowOff>149137</xdr:rowOff>
    </xdr:to>
    <xdr:sp macro="" textlink="">
      <xdr:nvSpPr>
        <xdr:cNvPr id="81" name="Text Box 233">
          <a:extLst>
            <a:ext uri="{FF2B5EF4-FFF2-40B4-BE49-F238E27FC236}">
              <a16:creationId xmlns:a16="http://schemas.microsoft.com/office/drawing/2014/main" id="{00000000-0008-0000-0000-000051000000}"/>
            </a:ext>
          </a:extLst>
        </xdr:cNvPr>
        <xdr:cNvSpPr txBox="1">
          <a:spLocks noChangeArrowheads="1"/>
        </xdr:cNvSpPr>
      </xdr:nvSpPr>
      <xdr:spPr bwMode="auto">
        <a:xfrm>
          <a:off x="12450762" y="5821898"/>
          <a:ext cx="381776" cy="25369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16</xdr:col>
      <xdr:colOff>492021</xdr:colOff>
      <xdr:row>30</xdr:row>
      <xdr:rowOff>72477</xdr:rowOff>
    </xdr:from>
    <xdr:to>
      <xdr:col>16</xdr:col>
      <xdr:colOff>918234</xdr:colOff>
      <xdr:row>31</xdr:row>
      <xdr:rowOff>149159</xdr:rowOff>
    </xdr:to>
    <xdr:sp macro="" textlink="'Variable Management'!C381">
      <xdr:nvSpPr>
        <xdr:cNvPr id="82" name="Text Box 281">
          <a:extLst>
            <a:ext uri="{FF2B5EF4-FFF2-40B4-BE49-F238E27FC236}">
              <a16:creationId xmlns:a16="http://schemas.microsoft.com/office/drawing/2014/main" id="{00000000-0008-0000-0000-000052000000}"/>
            </a:ext>
          </a:extLst>
        </xdr:cNvPr>
        <xdr:cNvSpPr txBox="1">
          <a:spLocks noChangeArrowheads="1" noTextEdit="1"/>
        </xdr:cNvSpPr>
      </xdr:nvSpPr>
      <xdr:spPr bwMode="auto">
        <a:xfrm>
          <a:off x="10526096" y="6120705"/>
          <a:ext cx="437643" cy="23567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Css1</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910095</xdr:colOff>
      <xdr:row>30</xdr:row>
      <xdr:rowOff>80683</xdr:rowOff>
    </xdr:from>
    <xdr:to>
      <xdr:col>16</xdr:col>
      <xdr:colOff>1338213</xdr:colOff>
      <xdr:row>31</xdr:row>
      <xdr:rowOff>149160</xdr:rowOff>
    </xdr:to>
    <xdr:sp macro="" textlink="'Variable Management'!C382">
      <xdr:nvSpPr>
        <xdr:cNvPr id="83" name="Text Box 281">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10962780" y="618811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Css2</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3005742</xdr:colOff>
      <xdr:row>24</xdr:row>
      <xdr:rowOff>71773</xdr:rowOff>
    </xdr:from>
    <xdr:to>
      <xdr:col>16</xdr:col>
      <xdr:colOff>3462693</xdr:colOff>
      <xdr:row>25</xdr:row>
      <xdr:rowOff>75850</xdr:rowOff>
    </xdr:to>
    <xdr:sp macro="" textlink="'Variable Management'!C353">
      <xdr:nvSpPr>
        <xdr:cNvPr id="84" name="Text Box 263">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13030292" y="493743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3500602</xdr:colOff>
      <xdr:row>24</xdr:row>
      <xdr:rowOff>33380</xdr:rowOff>
    </xdr:from>
    <xdr:to>
      <xdr:col>16</xdr:col>
      <xdr:colOff>3959458</xdr:colOff>
      <xdr:row>25</xdr:row>
      <xdr:rowOff>41267</xdr:rowOff>
    </xdr:to>
    <xdr:sp macro="" textlink="'Variable Management'!C354">
      <xdr:nvSpPr>
        <xdr:cNvPr id="85" name="Text Box 263">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13527057" y="4906663"/>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3280648</xdr:colOff>
      <xdr:row>28</xdr:row>
      <xdr:rowOff>41586</xdr:rowOff>
    </xdr:from>
    <xdr:to>
      <xdr:col>16</xdr:col>
      <xdr:colOff>3737599</xdr:colOff>
      <xdr:row>29</xdr:row>
      <xdr:rowOff>110433</xdr:rowOff>
    </xdr:to>
    <xdr:sp macro="" textlink="'Variable Management'!C355">
      <xdr:nvSpPr>
        <xdr:cNvPr id="86" name="Text Box 26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13320438" y="571848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3844162</xdr:colOff>
      <xdr:row>20</xdr:row>
      <xdr:rowOff>149462</xdr:rowOff>
    </xdr:from>
    <xdr:to>
      <xdr:col>16</xdr:col>
      <xdr:colOff>4950043</xdr:colOff>
      <xdr:row>22</xdr:row>
      <xdr:rowOff>72513</xdr:rowOff>
    </xdr:to>
    <xdr:sp macro="" textlink="">
      <xdr:nvSpPr>
        <xdr:cNvPr id="87" name="Text Box 249">
          <a:extLst>
            <a:ext uri="{FF2B5EF4-FFF2-40B4-BE49-F238E27FC236}">
              <a16:creationId xmlns:a16="http://schemas.microsoft.com/office/drawing/2014/main" id="{00000000-0008-0000-0000-000057000000}"/>
            </a:ext>
          </a:extLst>
        </xdr:cNvPr>
        <xdr:cNvSpPr txBox="1">
          <a:spLocks noChangeArrowheads="1"/>
        </xdr:cNvSpPr>
      </xdr:nvSpPr>
      <xdr:spPr bwMode="auto">
        <a:xfrm>
          <a:off x="13902562" y="4378562"/>
          <a:ext cx="1105881"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a:t>
          </a:r>
          <a:endParaRPr lang="en-US" sz="1000" b="0" i="0" strike="noStrike" baseline="-2500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371475</xdr:colOff>
          <xdr:row>4</xdr:row>
          <xdr:rowOff>9525</xdr:rowOff>
        </xdr:from>
        <xdr:to>
          <xdr:col>7</xdr:col>
          <xdr:colOff>514350</xdr:colOff>
          <xdr:row>4</xdr:row>
          <xdr:rowOff>238125</xdr:rowOff>
        </xdr:to>
        <xdr:sp macro="" textlink="">
          <xdr:nvSpPr>
            <xdr:cNvPr id="700259" name="Drop Down 2915" hidden="1">
              <a:extLst>
                <a:ext uri="{63B3BB69-23CF-44E3-9099-C40C66FF867C}">
                  <a14:compatExt spid="_x0000_s700259"/>
                </a:ext>
                <a:ext uri="{FF2B5EF4-FFF2-40B4-BE49-F238E27FC236}">
                  <a16:creationId xmlns:a16="http://schemas.microsoft.com/office/drawing/2014/main" id="{00000000-0008-0000-0000-000063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16</xdr:col>
      <xdr:colOff>696057</xdr:colOff>
      <xdr:row>15</xdr:row>
      <xdr:rowOff>133349</xdr:rowOff>
    </xdr:from>
    <xdr:to>
      <xdr:col>16</xdr:col>
      <xdr:colOff>1919653</xdr:colOff>
      <xdr:row>21</xdr:row>
      <xdr:rowOff>9524</xdr:rowOff>
    </xdr:to>
    <xdr:sp macro="" textlink="'Variable Management'!X25">
      <xdr:nvSpPr>
        <xdr:cNvPr id="88" name="Text Box 24">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754457" y="3390899"/>
          <a:ext cx="1223596" cy="1019175"/>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LM5143-Q1</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219075</xdr:colOff>
          <xdr:row>15</xdr:row>
          <xdr:rowOff>9525</xdr:rowOff>
        </xdr:from>
        <xdr:to>
          <xdr:col>7</xdr:col>
          <xdr:colOff>476250</xdr:colOff>
          <xdr:row>15</xdr:row>
          <xdr:rowOff>238125</xdr:rowOff>
        </xdr:to>
        <xdr:sp macro="" textlink="">
          <xdr:nvSpPr>
            <xdr:cNvPr id="713934" name="Drop Down 3278" hidden="1">
              <a:extLst>
                <a:ext uri="{63B3BB69-23CF-44E3-9099-C40C66FF867C}">
                  <a14:compatExt spid="_x0000_s713934"/>
                </a:ext>
                <a:ext uri="{FF2B5EF4-FFF2-40B4-BE49-F238E27FC236}">
                  <a16:creationId xmlns:a16="http://schemas.microsoft.com/office/drawing/2014/main" id="{00000000-0008-0000-0000-0000CEE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150936</xdr:colOff>
          <xdr:row>1</xdr:row>
          <xdr:rowOff>0</xdr:rowOff>
        </xdr:from>
        <xdr:to>
          <xdr:col>8</xdr:col>
          <xdr:colOff>676853</xdr:colOff>
          <xdr:row>34</xdr:row>
          <xdr:rowOff>57150</xdr:rowOff>
        </xdr:to>
        <xdr:pic>
          <xdr:nvPicPr>
            <xdr:cNvPr id="3" name="Picture 1175">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PICTURE2" spid="_x0000_s686754"/>
                </a:ext>
              </a:extLst>
            </xdr:cNvPicPr>
          </xdr:nvPicPr>
          <xdr:blipFill>
            <a:blip xmlns:r="http://schemas.openxmlformats.org/officeDocument/2006/relationships" r:embed="rId1"/>
            <a:srcRect/>
            <a:stretch>
              <a:fillRect/>
            </a:stretch>
          </xdr:blipFill>
          <xdr:spPr bwMode="auto">
            <a:xfrm>
              <a:off x="150936" y="161925"/>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absolute">
    <xdr:from>
      <xdr:col>1</xdr:col>
      <xdr:colOff>327117</xdr:colOff>
      <xdr:row>11</xdr:row>
      <xdr:rowOff>112786</xdr:rowOff>
    </xdr:from>
    <xdr:to>
      <xdr:col>1</xdr:col>
      <xdr:colOff>712364</xdr:colOff>
      <xdr:row>13</xdr:row>
      <xdr:rowOff>20216</xdr:rowOff>
    </xdr:to>
    <xdr:sp macro="" textlink="">
      <xdr:nvSpPr>
        <xdr:cNvPr id="4" name="Text Box 228">
          <a:extLst>
            <a:ext uri="{FF2B5EF4-FFF2-40B4-BE49-F238E27FC236}">
              <a16:creationId xmlns:a16="http://schemas.microsoft.com/office/drawing/2014/main" id="{00000000-0008-0000-0100-000004000000}"/>
            </a:ext>
          </a:extLst>
        </xdr:cNvPr>
        <xdr:cNvSpPr txBox="1">
          <a:spLocks noChangeArrowheads="1"/>
        </xdr:cNvSpPr>
      </xdr:nvSpPr>
      <xdr:spPr bwMode="auto">
        <a:xfrm>
          <a:off x="965292" y="1893961"/>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4</xdr:col>
      <xdr:colOff>770277</xdr:colOff>
      <xdr:row>31</xdr:row>
      <xdr:rowOff>44509</xdr:rowOff>
    </xdr:from>
    <xdr:to>
      <xdr:col>4</xdr:col>
      <xdr:colOff>1152053</xdr:colOff>
      <xdr:row>32</xdr:row>
      <xdr:rowOff>133897</xdr:rowOff>
    </xdr:to>
    <xdr:sp macro="" textlink="">
      <xdr:nvSpPr>
        <xdr:cNvPr id="5" name="Text Box 233">
          <a:extLst>
            <a:ext uri="{FF2B5EF4-FFF2-40B4-BE49-F238E27FC236}">
              <a16:creationId xmlns:a16="http://schemas.microsoft.com/office/drawing/2014/main" id="{00000000-0008-0000-0100-000005000000}"/>
            </a:ext>
          </a:extLst>
        </xdr:cNvPr>
        <xdr:cNvSpPr txBox="1">
          <a:spLocks noChangeArrowheads="1"/>
        </xdr:cNvSpPr>
      </xdr:nvSpPr>
      <xdr:spPr bwMode="auto">
        <a:xfrm>
          <a:off x="5180352" y="5064184"/>
          <a:ext cx="381776" cy="25131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xdr:col>
      <xdr:colOff>537446</xdr:colOff>
      <xdr:row>7</xdr:row>
      <xdr:rowOff>110846</xdr:rowOff>
    </xdr:from>
    <xdr:to>
      <xdr:col>1</xdr:col>
      <xdr:colOff>781307</xdr:colOff>
      <xdr:row>9</xdr:row>
      <xdr:rowOff>8292</xdr:rowOff>
    </xdr:to>
    <xdr:sp macro="" textlink="">
      <xdr:nvSpPr>
        <xdr:cNvPr id="6" name="Text Box 234">
          <a:extLst>
            <a:ext uri="{FF2B5EF4-FFF2-40B4-BE49-F238E27FC236}">
              <a16:creationId xmlns:a16="http://schemas.microsoft.com/office/drawing/2014/main" id="{00000000-0008-0000-0100-000006000000}"/>
            </a:ext>
          </a:extLst>
        </xdr:cNvPr>
        <xdr:cNvSpPr txBox="1">
          <a:spLocks noChangeArrowheads="1"/>
        </xdr:cNvSpPr>
      </xdr:nvSpPr>
      <xdr:spPr bwMode="auto">
        <a:xfrm>
          <a:off x="1175621" y="1244321"/>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xdr:col>
      <xdr:colOff>1015578</xdr:colOff>
      <xdr:row>8</xdr:row>
      <xdr:rowOff>102673</xdr:rowOff>
    </xdr:from>
    <xdr:to>
      <xdr:col>2</xdr:col>
      <xdr:colOff>249</xdr:colOff>
      <xdr:row>10</xdr:row>
      <xdr:rowOff>54330</xdr:rowOff>
    </xdr:to>
    <xdr:sp macro="" textlink="">
      <xdr:nvSpPr>
        <xdr:cNvPr id="7" name="Text Box 235">
          <a:extLst>
            <a:ext uri="{FF2B5EF4-FFF2-40B4-BE49-F238E27FC236}">
              <a16:creationId xmlns:a16="http://schemas.microsoft.com/office/drawing/2014/main" id="{00000000-0008-0000-0100-000007000000}"/>
            </a:ext>
          </a:extLst>
        </xdr:cNvPr>
        <xdr:cNvSpPr txBox="1">
          <a:spLocks noChangeArrowheads="1"/>
        </xdr:cNvSpPr>
      </xdr:nvSpPr>
      <xdr:spPr bwMode="auto">
        <a:xfrm>
          <a:off x="1653753" y="1398073"/>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xdr:col>
      <xdr:colOff>917688</xdr:colOff>
      <xdr:row>3</xdr:row>
      <xdr:rowOff>64533</xdr:rowOff>
    </xdr:from>
    <xdr:to>
      <xdr:col>1</xdr:col>
      <xdr:colOff>1246439</xdr:colOff>
      <xdr:row>4</xdr:row>
      <xdr:rowOff>128854</xdr:rowOff>
    </xdr:to>
    <xdr:sp macro="" textlink="">
      <xdr:nvSpPr>
        <xdr:cNvPr id="8" name="Text Box 244">
          <a:extLst>
            <a:ext uri="{FF2B5EF4-FFF2-40B4-BE49-F238E27FC236}">
              <a16:creationId xmlns:a16="http://schemas.microsoft.com/office/drawing/2014/main" id="{00000000-0008-0000-0100-000008000000}"/>
            </a:ext>
          </a:extLst>
        </xdr:cNvPr>
        <xdr:cNvSpPr txBox="1">
          <a:spLocks noChangeArrowheads="1"/>
        </xdr:cNvSpPr>
      </xdr:nvSpPr>
      <xdr:spPr bwMode="auto">
        <a:xfrm>
          <a:off x="1555863" y="550308"/>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5</xdr:col>
      <xdr:colOff>311429</xdr:colOff>
      <xdr:row>3</xdr:row>
      <xdr:rowOff>95580</xdr:rowOff>
    </xdr:from>
    <xdr:to>
      <xdr:col>5</xdr:col>
      <xdr:colOff>721586</xdr:colOff>
      <xdr:row>5</xdr:row>
      <xdr:rowOff>13374</xdr:rowOff>
    </xdr:to>
    <xdr:sp macro="" textlink="">
      <xdr:nvSpPr>
        <xdr:cNvPr id="9" name="Text Box 248">
          <a:extLst>
            <a:ext uri="{FF2B5EF4-FFF2-40B4-BE49-F238E27FC236}">
              <a16:creationId xmlns:a16="http://schemas.microsoft.com/office/drawing/2014/main" id="{00000000-0008-0000-0100-000009000000}"/>
            </a:ext>
          </a:extLst>
        </xdr:cNvPr>
        <xdr:cNvSpPr txBox="1">
          <a:spLocks noChangeArrowheads="1"/>
        </xdr:cNvSpPr>
      </xdr:nvSpPr>
      <xdr:spPr bwMode="auto">
        <a:xfrm>
          <a:off x="5874029" y="581355"/>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5</xdr:col>
      <xdr:colOff>1215475</xdr:colOff>
      <xdr:row>3</xdr:row>
      <xdr:rowOff>101710</xdr:rowOff>
    </xdr:from>
    <xdr:to>
      <xdr:col>6</xdr:col>
      <xdr:colOff>219884</xdr:colOff>
      <xdr:row>5</xdr:row>
      <xdr:rowOff>31062</xdr:rowOff>
    </xdr:to>
    <xdr:sp macro="" textlink="">
      <xdr:nvSpPr>
        <xdr:cNvPr id="10" name="Text Box 249">
          <a:extLst>
            <a:ext uri="{FF2B5EF4-FFF2-40B4-BE49-F238E27FC236}">
              <a16:creationId xmlns:a16="http://schemas.microsoft.com/office/drawing/2014/main" id="{00000000-0008-0000-0100-00000A000000}"/>
            </a:ext>
          </a:extLst>
        </xdr:cNvPr>
        <xdr:cNvSpPr txBox="1">
          <a:spLocks noChangeArrowheads="1"/>
        </xdr:cNvSpPr>
      </xdr:nvSpPr>
      <xdr:spPr bwMode="auto">
        <a:xfrm>
          <a:off x="6778075" y="587485"/>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2</xdr:col>
      <xdr:colOff>589169</xdr:colOff>
      <xdr:row>28</xdr:row>
      <xdr:rowOff>141288</xdr:rowOff>
    </xdr:from>
    <xdr:to>
      <xdr:col>2</xdr:col>
      <xdr:colOff>834519</xdr:colOff>
      <xdr:row>30</xdr:row>
      <xdr:rowOff>35965</xdr:rowOff>
    </xdr:to>
    <xdr:sp macro="" textlink="">
      <xdr:nvSpPr>
        <xdr:cNvPr id="11" name="Text Box 256">
          <a:extLst>
            <a:ext uri="{FF2B5EF4-FFF2-40B4-BE49-F238E27FC236}">
              <a16:creationId xmlns:a16="http://schemas.microsoft.com/office/drawing/2014/main" id="{00000000-0008-0000-0100-00000B000000}"/>
            </a:ext>
          </a:extLst>
        </xdr:cNvPr>
        <xdr:cNvSpPr txBox="1">
          <a:spLocks noChangeArrowheads="1"/>
        </xdr:cNvSpPr>
      </xdr:nvSpPr>
      <xdr:spPr bwMode="auto">
        <a:xfrm>
          <a:off x="2579894" y="4675188"/>
          <a:ext cx="245350" cy="21852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2</xdr:col>
      <xdr:colOff>289675</xdr:colOff>
      <xdr:row>23</xdr:row>
      <xdr:rowOff>132059</xdr:rowOff>
    </xdr:from>
    <xdr:to>
      <xdr:col>2</xdr:col>
      <xdr:colOff>604177</xdr:colOff>
      <xdr:row>25</xdr:row>
      <xdr:rowOff>52247</xdr:rowOff>
    </xdr:to>
    <xdr:sp macro="" textlink="">
      <xdr:nvSpPr>
        <xdr:cNvPr id="12" name="Text Box 257">
          <a:extLst>
            <a:ext uri="{FF2B5EF4-FFF2-40B4-BE49-F238E27FC236}">
              <a16:creationId xmlns:a16="http://schemas.microsoft.com/office/drawing/2014/main" id="{00000000-0008-0000-0100-00000C000000}"/>
            </a:ext>
          </a:extLst>
        </xdr:cNvPr>
        <xdr:cNvSpPr txBox="1">
          <a:spLocks noChangeArrowheads="1"/>
        </xdr:cNvSpPr>
      </xdr:nvSpPr>
      <xdr:spPr bwMode="auto">
        <a:xfrm>
          <a:off x="2280400" y="3856334"/>
          <a:ext cx="314502" cy="244038"/>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705821</xdr:colOff>
      <xdr:row>24</xdr:row>
      <xdr:rowOff>20397</xdr:rowOff>
    </xdr:from>
    <xdr:to>
      <xdr:col>2</xdr:col>
      <xdr:colOff>1015990</xdr:colOff>
      <xdr:row>25</xdr:row>
      <xdr:rowOff>77654</xdr:rowOff>
    </xdr:to>
    <xdr:sp macro="" textlink="">
      <xdr:nvSpPr>
        <xdr:cNvPr id="13" name="Text Box 258">
          <a:extLst>
            <a:ext uri="{FF2B5EF4-FFF2-40B4-BE49-F238E27FC236}">
              <a16:creationId xmlns:a16="http://schemas.microsoft.com/office/drawing/2014/main" id="{00000000-0008-0000-0100-00000D000000}"/>
            </a:ext>
          </a:extLst>
        </xdr:cNvPr>
        <xdr:cNvSpPr txBox="1">
          <a:spLocks noChangeArrowheads="1"/>
        </xdr:cNvSpPr>
      </xdr:nvSpPr>
      <xdr:spPr bwMode="auto">
        <a:xfrm>
          <a:off x="2696546" y="3906597"/>
          <a:ext cx="310169" cy="21918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392266</xdr:colOff>
      <xdr:row>29</xdr:row>
      <xdr:rowOff>139047</xdr:rowOff>
    </xdr:from>
    <xdr:to>
      <xdr:col>2</xdr:col>
      <xdr:colOff>814853</xdr:colOff>
      <xdr:row>31</xdr:row>
      <xdr:rowOff>37817</xdr:rowOff>
    </xdr:to>
    <xdr:sp macro="" textlink="'Variable Management'!B355">
      <xdr:nvSpPr>
        <xdr:cNvPr id="14" name="Text Box 262">
          <a:extLst>
            <a:ext uri="{FF2B5EF4-FFF2-40B4-BE49-F238E27FC236}">
              <a16:creationId xmlns:a16="http://schemas.microsoft.com/office/drawing/2014/main" id="{00000000-0008-0000-0100-00000E000000}"/>
            </a:ext>
          </a:extLst>
        </xdr:cNvPr>
        <xdr:cNvSpPr txBox="1">
          <a:spLocks noChangeArrowheads="1" noTextEdit="1"/>
        </xdr:cNvSpPr>
      </xdr:nvSpPr>
      <xdr:spPr bwMode="auto">
        <a:xfrm>
          <a:off x="2382991" y="4834872"/>
          <a:ext cx="422587" cy="222620"/>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669788</xdr:colOff>
      <xdr:row>25</xdr:row>
      <xdr:rowOff>51975</xdr:rowOff>
    </xdr:from>
    <xdr:to>
      <xdr:col>3</xdr:col>
      <xdr:colOff>54224</xdr:colOff>
      <xdr:row>26</xdr:row>
      <xdr:rowOff>113383</xdr:rowOff>
    </xdr:to>
    <xdr:sp macro="" textlink="'Variable Management'!B353">
      <xdr:nvSpPr>
        <xdr:cNvPr id="15" name="Text Box 263">
          <a:extLst>
            <a:ext uri="{FF2B5EF4-FFF2-40B4-BE49-F238E27FC236}">
              <a16:creationId xmlns:a16="http://schemas.microsoft.com/office/drawing/2014/main" id="{00000000-0008-0000-0100-00000F000000}"/>
            </a:ext>
          </a:extLst>
        </xdr:cNvPr>
        <xdr:cNvSpPr txBox="1">
          <a:spLocks noChangeArrowheads="1" noTextEdit="1"/>
        </xdr:cNvSpPr>
      </xdr:nvSpPr>
      <xdr:spPr bwMode="auto">
        <a:xfrm>
          <a:off x="2660513" y="4100100"/>
          <a:ext cx="460761" cy="223333"/>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0.98kΩ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379595</xdr:colOff>
      <xdr:row>19</xdr:row>
      <xdr:rowOff>91412</xdr:rowOff>
    </xdr:from>
    <xdr:to>
      <xdr:col>2</xdr:col>
      <xdr:colOff>1061575</xdr:colOff>
      <xdr:row>21</xdr:row>
      <xdr:rowOff>30464</xdr:rowOff>
    </xdr:to>
    <xdr:sp macro="" textlink="'Variable Management'!B380">
      <xdr:nvSpPr>
        <xdr:cNvPr id="16" name="Text Box 265">
          <a:extLst>
            <a:ext uri="{FF2B5EF4-FFF2-40B4-BE49-F238E27FC236}">
              <a16:creationId xmlns:a16="http://schemas.microsoft.com/office/drawing/2014/main" id="{00000000-0008-0000-0100-000010000000}"/>
            </a:ext>
          </a:extLst>
        </xdr:cNvPr>
        <xdr:cNvSpPr txBox="1">
          <a:spLocks noChangeArrowheads="1" noTextEdit="1"/>
        </xdr:cNvSpPr>
      </xdr:nvSpPr>
      <xdr:spPr bwMode="auto">
        <a:xfrm>
          <a:off x="2370320" y="3167987"/>
          <a:ext cx="681980" cy="26290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96201</xdr:colOff>
      <xdr:row>13</xdr:row>
      <xdr:rowOff>12640</xdr:rowOff>
    </xdr:from>
    <xdr:to>
      <xdr:col>1</xdr:col>
      <xdr:colOff>596825</xdr:colOff>
      <xdr:row>14</xdr:row>
      <xdr:rowOff>57839</xdr:rowOff>
    </xdr:to>
    <xdr:sp macro="" textlink="'Variable Management'!B345">
      <xdr:nvSpPr>
        <xdr:cNvPr id="17" name="Text Box 267">
          <a:extLst>
            <a:ext uri="{FF2B5EF4-FFF2-40B4-BE49-F238E27FC236}">
              <a16:creationId xmlns:a16="http://schemas.microsoft.com/office/drawing/2014/main" id="{00000000-0008-0000-0100-000011000000}"/>
            </a:ext>
          </a:extLst>
        </xdr:cNvPr>
        <xdr:cNvSpPr txBox="1">
          <a:spLocks noChangeArrowheads="1" noTextEdit="1"/>
        </xdr:cNvSpPr>
      </xdr:nvSpPr>
      <xdr:spPr bwMode="auto">
        <a:xfrm>
          <a:off x="734376" y="2117665"/>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5µF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943743</xdr:colOff>
      <xdr:row>11</xdr:row>
      <xdr:rowOff>5363</xdr:rowOff>
    </xdr:from>
    <xdr:to>
      <xdr:col>2</xdr:col>
      <xdr:colOff>37971</xdr:colOff>
      <xdr:row>12</xdr:row>
      <xdr:rowOff>52531</xdr:rowOff>
    </xdr:to>
    <xdr:sp macro="" textlink="'Variable Management'!B339">
      <xdr:nvSpPr>
        <xdr:cNvPr id="18" name="Text Box 275">
          <a:extLst>
            <a:ext uri="{FF2B5EF4-FFF2-40B4-BE49-F238E27FC236}">
              <a16:creationId xmlns:a16="http://schemas.microsoft.com/office/drawing/2014/main" id="{00000000-0008-0000-0100-000012000000}"/>
            </a:ext>
          </a:extLst>
        </xdr:cNvPr>
        <xdr:cNvSpPr txBox="1">
          <a:spLocks noChangeArrowheads="1" noTextEdit="1"/>
        </xdr:cNvSpPr>
      </xdr:nvSpPr>
      <xdr:spPr bwMode="auto">
        <a:xfrm>
          <a:off x="1581918" y="1786538"/>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0.68µH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876850</xdr:colOff>
      <xdr:row>4</xdr:row>
      <xdr:rowOff>95130</xdr:rowOff>
    </xdr:from>
    <xdr:to>
      <xdr:col>1</xdr:col>
      <xdr:colOff>1352510</xdr:colOff>
      <xdr:row>5</xdr:row>
      <xdr:rowOff>156921</xdr:rowOff>
    </xdr:to>
    <xdr:sp macro="" textlink="'Variable Management'!B349">
      <xdr:nvSpPr>
        <xdr:cNvPr id="19" name="Text Box 276">
          <a:extLst>
            <a:ext uri="{FF2B5EF4-FFF2-40B4-BE49-F238E27FC236}">
              <a16:creationId xmlns:a16="http://schemas.microsoft.com/office/drawing/2014/main" id="{00000000-0008-0000-0100-000013000000}"/>
            </a:ext>
          </a:extLst>
        </xdr:cNvPr>
        <xdr:cNvSpPr txBox="1">
          <a:spLocks noChangeArrowheads="1" noTextEdit="1"/>
        </xdr:cNvSpPr>
      </xdr:nvSpPr>
      <xdr:spPr bwMode="auto">
        <a:xfrm>
          <a:off x="1515025" y="742830"/>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870011</xdr:colOff>
      <xdr:row>32</xdr:row>
      <xdr:rowOff>86651</xdr:rowOff>
    </xdr:from>
    <xdr:to>
      <xdr:col>3</xdr:col>
      <xdr:colOff>1307654</xdr:colOff>
      <xdr:row>33</xdr:row>
      <xdr:rowOff>158938</xdr:rowOff>
    </xdr:to>
    <xdr:sp macro="" textlink="'Variable Management'!B381">
      <xdr:nvSpPr>
        <xdr:cNvPr id="20" name="Text Box 281">
          <a:extLst>
            <a:ext uri="{FF2B5EF4-FFF2-40B4-BE49-F238E27FC236}">
              <a16:creationId xmlns:a16="http://schemas.microsoft.com/office/drawing/2014/main" id="{00000000-0008-0000-0100-000014000000}"/>
            </a:ext>
          </a:extLst>
        </xdr:cNvPr>
        <xdr:cNvSpPr txBox="1">
          <a:spLocks noChangeArrowheads="1" noTextEdit="1"/>
        </xdr:cNvSpPr>
      </xdr:nvSpPr>
      <xdr:spPr bwMode="auto">
        <a:xfrm>
          <a:off x="3937061" y="5268251"/>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0</xdr:col>
      <xdr:colOff>0</xdr:colOff>
      <xdr:row>10</xdr:row>
      <xdr:rowOff>19036</xdr:rowOff>
    </xdr:from>
    <xdr:to>
      <xdr:col>0</xdr:col>
      <xdr:colOff>482804</xdr:colOff>
      <xdr:row>11</xdr:row>
      <xdr:rowOff>101723</xdr:rowOff>
    </xdr:to>
    <xdr:sp macro="" textlink="'Variable Management'!B343">
      <xdr:nvSpPr>
        <xdr:cNvPr id="21" name="Text Box 285">
          <a:extLst>
            <a:ext uri="{FF2B5EF4-FFF2-40B4-BE49-F238E27FC236}">
              <a16:creationId xmlns:a16="http://schemas.microsoft.com/office/drawing/2014/main" id="{00000000-0008-0000-0100-000015000000}"/>
            </a:ext>
          </a:extLst>
        </xdr:cNvPr>
        <xdr:cNvSpPr txBox="1">
          <a:spLocks noChangeArrowheads="1" noTextEdit="1"/>
        </xdr:cNvSpPr>
      </xdr:nvSpPr>
      <xdr:spPr bwMode="auto">
        <a:xfrm>
          <a:off x="0" y="1638286"/>
          <a:ext cx="482804"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3.3V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0</xdr:col>
      <xdr:colOff>10795</xdr:colOff>
      <xdr:row>11</xdr:row>
      <xdr:rowOff>64131</xdr:rowOff>
    </xdr:from>
    <xdr:to>
      <xdr:col>0</xdr:col>
      <xdr:colOff>467973</xdr:colOff>
      <xdr:row>12</xdr:row>
      <xdr:rowOff>144760</xdr:rowOff>
    </xdr:to>
    <xdr:sp macro="" textlink="'Variable Management'!B386">
      <xdr:nvSpPr>
        <xdr:cNvPr id="22" name="Text Box 286">
          <a:extLst>
            <a:ext uri="{FF2B5EF4-FFF2-40B4-BE49-F238E27FC236}">
              <a16:creationId xmlns:a16="http://schemas.microsoft.com/office/drawing/2014/main" id="{00000000-0008-0000-0100-000016000000}"/>
            </a:ext>
          </a:extLst>
        </xdr:cNvPr>
        <xdr:cNvSpPr txBox="1">
          <a:spLocks noChangeArrowheads="1" noTextEdit="1"/>
        </xdr:cNvSpPr>
      </xdr:nvSpPr>
      <xdr:spPr bwMode="auto">
        <a:xfrm>
          <a:off x="10795" y="1845306"/>
          <a:ext cx="457178"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4A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2</xdr:col>
      <xdr:colOff>658119</xdr:colOff>
      <xdr:row>17</xdr:row>
      <xdr:rowOff>92548</xdr:rowOff>
    </xdr:from>
    <xdr:to>
      <xdr:col>2</xdr:col>
      <xdr:colOff>924041</xdr:colOff>
      <xdr:row>18</xdr:row>
      <xdr:rowOff>122438</xdr:rowOff>
    </xdr:to>
    <xdr:sp macro="" textlink="">
      <xdr:nvSpPr>
        <xdr:cNvPr id="23" name="Text Box 251">
          <a:extLst>
            <a:ext uri="{FF2B5EF4-FFF2-40B4-BE49-F238E27FC236}">
              <a16:creationId xmlns:a16="http://schemas.microsoft.com/office/drawing/2014/main" id="{00000000-0008-0000-0100-000017000000}"/>
            </a:ext>
          </a:extLst>
        </xdr:cNvPr>
        <xdr:cNvSpPr txBox="1">
          <a:spLocks noChangeArrowheads="1"/>
        </xdr:cNvSpPr>
      </xdr:nvSpPr>
      <xdr:spPr bwMode="auto">
        <a:xfrm>
          <a:off x="2648844" y="2845273"/>
          <a:ext cx="265922"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5</xdr:col>
      <xdr:colOff>891111</xdr:colOff>
      <xdr:row>7</xdr:row>
      <xdr:rowOff>51329</xdr:rowOff>
    </xdr:from>
    <xdr:to>
      <xdr:col>5</xdr:col>
      <xdr:colOff>1353903</xdr:colOff>
      <xdr:row>8</xdr:row>
      <xdr:rowOff>112679</xdr:rowOff>
    </xdr:to>
    <xdr:sp macro="" textlink="">
      <xdr:nvSpPr>
        <xdr:cNvPr id="24" name="Text Box 247">
          <a:extLst>
            <a:ext uri="{FF2B5EF4-FFF2-40B4-BE49-F238E27FC236}">
              <a16:creationId xmlns:a16="http://schemas.microsoft.com/office/drawing/2014/main" id="{00000000-0008-0000-0100-000018000000}"/>
            </a:ext>
          </a:extLst>
        </xdr:cNvPr>
        <xdr:cNvSpPr txBox="1">
          <a:spLocks noChangeArrowheads="1"/>
        </xdr:cNvSpPr>
      </xdr:nvSpPr>
      <xdr:spPr bwMode="auto">
        <a:xfrm>
          <a:off x="6453711" y="1184804"/>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1199239</xdr:colOff>
      <xdr:row>12</xdr:row>
      <xdr:rowOff>117699</xdr:rowOff>
    </xdr:from>
    <xdr:to>
      <xdr:col>2</xdr:col>
      <xdr:colOff>169074</xdr:colOff>
      <xdr:row>14</xdr:row>
      <xdr:rowOff>39099</xdr:rowOff>
    </xdr:to>
    <xdr:sp macro="" textlink="">
      <xdr:nvSpPr>
        <xdr:cNvPr id="25" name="Text Box 244">
          <a:extLst>
            <a:ext uri="{FF2B5EF4-FFF2-40B4-BE49-F238E27FC236}">
              <a16:creationId xmlns:a16="http://schemas.microsoft.com/office/drawing/2014/main" id="{00000000-0008-0000-0100-000019000000}"/>
            </a:ext>
          </a:extLst>
        </xdr:cNvPr>
        <xdr:cNvSpPr txBox="1">
          <a:spLocks noChangeArrowheads="1"/>
        </xdr:cNvSpPr>
      </xdr:nvSpPr>
      <xdr:spPr bwMode="auto">
        <a:xfrm>
          <a:off x="1837414" y="2060799"/>
          <a:ext cx="322385" cy="24525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2</xdr:col>
      <xdr:colOff>10173</xdr:colOff>
      <xdr:row>8</xdr:row>
      <xdr:rowOff>65261</xdr:rowOff>
    </xdr:from>
    <xdr:to>
      <xdr:col>2</xdr:col>
      <xdr:colOff>329779</xdr:colOff>
      <xdr:row>10</xdr:row>
      <xdr:rowOff>10533</xdr:rowOff>
    </xdr:to>
    <xdr:sp macro="" textlink="">
      <xdr:nvSpPr>
        <xdr:cNvPr id="26" name="Text Box 244">
          <a:extLst>
            <a:ext uri="{FF2B5EF4-FFF2-40B4-BE49-F238E27FC236}">
              <a16:creationId xmlns:a16="http://schemas.microsoft.com/office/drawing/2014/main" id="{00000000-0008-0000-0100-00001A000000}"/>
            </a:ext>
          </a:extLst>
        </xdr:cNvPr>
        <xdr:cNvSpPr txBox="1">
          <a:spLocks noChangeArrowheads="1"/>
        </xdr:cNvSpPr>
      </xdr:nvSpPr>
      <xdr:spPr bwMode="auto">
        <a:xfrm>
          <a:off x="2000898" y="1360661"/>
          <a:ext cx="319606" cy="2691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428508</xdr:colOff>
      <xdr:row>8</xdr:row>
      <xdr:rowOff>133037</xdr:rowOff>
    </xdr:from>
    <xdr:to>
      <xdr:col>1</xdr:col>
      <xdr:colOff>909453</xdr:colOff>
      <xdr:row>10</xdr:row>
      <xdr:rowOff>80249</xdr:rowOff>
    </xdr:to>
    <xdr:sp macro="" textlink="'Variable Management'!B341">
      <xdr:nvSpPr>
        <xdr:cNvPr id="27" name="Text Box 275">
          <a:extLst>
            <a:ext uri="{FF2B5EF4-FFF2-40B4-BE49-F238E27FC236}">
              <a16:creationId xmlns:a16="http://schemas.microsoft.com/office/drawing/2014/main" id="{00000000-0008-0000-0100-00001B000000}"/>
            </a:ext>
          </a:extLst>
        </xdr:cNvPr>
        <xdr:cNvSpPr txBox="1">
          <a:spLocks noChangeArrowheads="1" noTextEdit="1"/>
        </xdr:cNvSpPr>
      </xdr:nvSpPr>
      <xdr:spPr bwMode="auto">
        <a:xfrm>
          <a:off x="1066683" y="1428437"/>
          <a:ext cx="480945" cy="271062"/>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1234493</xdr:colOff>
      <xdr:row>5</xdr:row>
      <xdr:rowOff>4688</xdr:rowOff>
    </xdr:from>
    <xdr:to>
      <xdr:col>6</xdr:col>
      <xdr:colOff>313486</xdr:colOff>
      <xdr:row>6</xdr:row>
      <xdr:rowOff>75670</xdr:rowOff>
    </xdr:to>
    <xdr:sp macro="" textlink="">
      <xdr:nvSpPr>
        <xdr:cNvPr id="28" name="Text Box 279">
          <a:extLst>
            <a:ext uri="{FF2B5EF4-FFF2-40B4-BE49-F238E27FC236}">
              <a16:creationId xmlns:a16="http://schemas.microsoft.com/office/drawing/2014/main" id="{00000000-0008-0000-0100-00001C000000}"/>
            </a:ext>
          </a:extLst>
        </xdr:cNvPr>
        <xdr:cNvSpPr txBox="1">
          <a:spLocks noChangeArrowheads="1"/>
        </xdr:cNvSpPr>
      </xdr:nvSpPr>
      <xdr:spPr bwMode="auto">
        <a:xfrm>
          <a:off x="6797093" y="814313"/>
          <a:ext cx="450593" cy="232907"/>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285960</xdr:colOff>
      <xdr:row>12</xdr:row>
      <xdr:rowOff>83920</xdr:rowOff>
    </xdr:from>
    <xdr:to>
      <xdr:col>6</xdr:col>
      <xdr:colOff>561742</xdr:colOff>
      <xdr:row>14</xdr:row>
      <xdr:rowOff>51172</xdr:rowOff>
    </xdr:to>
    <xdr:sp macro="" textlink="">
      <xdr:nvSpPr>
        <xdr:cNvPr id="29" name="Text Box 244">
          <a:extLst>
            <a:ext uri="{FF2B5EF4-FFF2-40B4-BE49-F238E27FC236}">
              <a16:creationId xmlns:a16="http://schemas.microsoft.com/office/drawing/2014/main" id="{00000000-0008-0000-0100-00001D000000}"/>
            </a:ext>
          </a:extLst>
        </xdr:cNvPr>
        <xdr:cNvSpPr txBox="1">
          <a:spLocks noChangeArrowheads="1"/>
        </xdr:cNvSpPr>
      </xdr:nvSpPr>
      <xdr:spPr bwMode="auto">
        <a:xfrm>
          <a:off x="7220160" y="2027020"/>
          <a:ext cx="275782" cy="2911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6</xdr:col>
      <xdr:colOff>292065</xdr:colOff>
      <xdr:row>8</xdr:row>
      <xdr:rowOff>56469</xdr:rowOff>
    </xdr:from>
    <xdr:to>
      <xdr:col>6</xdr:col>
      <xdr:colOff>569068</xdr:colOff>
      <xdr:row>9</xdr:row>
      <xdr:rowOff>161392</xdr:rowOff>
    </xdr:to>
    <xdr:sp macro="" textlink="">
      <xdr:nvSpPr>
        <xdr:cNvPr id="30" name="Text Box 244">
          <a:extLst>
            <a:ext uri="{FF2B5EF4-FFF2-40B4-BE49-F238E27FC236}">
              <a16:creationId xmlns:a16="http://schemas.microsoft.com/office/drawing/2014/main" id="{00000000-0008-0000-0100-00001E000000}"/>
            </a:ext>
          </a:extLst>
        </xdr:cNvPr>
        <xdr:cNvSpPr txBox="1">
          <a:spLocks noChangeArrowheads="1"/>
        </xdr:cNvSpPr>
      </xdr:nvSpPr>
      <xdr:spPr bwMode="auto">
        <a:xfrm>
          <a:off x="7226265" y="1351869"/>
          <a:ext cx="277003" cy="2668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2</xdr:col>
      <xdr:colOff>118463</xdr:colOff>
      <xdr:row>24</xdr:row>
      <xdr:rowOff>154077</xdr:rowOff>
    </xdr:from>
    <xdr:to>
      <xdr:col>2</xdr:col>
      <xdr:colOff>623979</xdr:colOff>
      <xdr:row>26</xdr:row>
      <xdr:rowOff>73629</xdr:rowOff>
    </xdr:to>
    <xdr:sp macro="" textlink="'Variable Management'!B354">
      <xdr:nvSpPr>
        <xdr:cNvPr id="31" name="Text Box 261">
          <a:extLst>
            <a:ext uri="{FF2B5EF4-FFF2-40B4-BE49-F238E27FC236}">
              <a16:creationId xmlns:a16="http://schemas.microsoft.com/office/drawing/2014/main" id="{00000000-0008-0000-0100-00001F000000}"/>
            </a:ext>
          </a:extLst>
        </xdr:cNvPr>
        <xdr:cNvSpPr txBox="1">
          <a:spLocks noChangeArrowheads="1" noTextEdit="1"/>
        </xdr:cNvSpPr>
      </xdr:nvSpPr>
      <xdr:spPr bwMode="auto">
        <a:xfrm>
          <a:off x="2109188" y="4040277"/>
          <a:ext cx="505516" cy="243402"/>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900" b="0" i="0" u="none" strike="noStrike" baseline="0">
              <a:solidFill>
                <a:srgbClr val="000000"/>
              </a:solidFill>
              <a:latin typeface="Arialri"/>
              <a:cs typeface="Arial" pitchFamily="34" charset="0"/>
            </a:rPr>
            <a:pPr algn="r" rtl="0">
              <a:defRPr sz="1000"/>
            </a:pPr>
            <a:t>27nF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389074</xdr:colOff>
      <xdr:row>2</xdr:row>
      <xdr:rowOff>90854</xdr:rowOff>
    </xdr:from>
    <xdr:to>
      <xdr:col>2</xdr:col>
      <xdr:colOff>33752</xdr:colOff>
      <xdr:row>4</xdr:row>
      <xdr:rowOff>30183</xdr:rowOff>
    </xdr:to>
    <xdr:sp macro="" textlink="'Variable Management'!B388">
      <xdr:nvSpPr>
        <xdr:cNvPr id="32" name="Text Box 283">
          <a:extLst>
            <a:ext uri="{FF2B5EF4-FFF2-40B4-BE49-F238E27FC236}">
              <a16:creationId xmlns:a16="http://schemas.microsoft.com/office/drawing/2014/main" id="{00000000-0008-0000-0100-000020000000}"/>
            </a:ext>
          </a:extLst>
        </xdr:cNvPr>
        <xdr:cNvSpPr txBox="1">
          <a:spLocks noChangeArrowheads="1" noTextEdit="1"/>
        </xdr:cNvSpPr>
      </xdr:nvSpPr>
      <xdr:spPr bwMode="auto">
        <a:xfrm>
          <a:off x="1027249" y="414704"/>
          <a:ext cx="997228" cy="26317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20V...26V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3</xdr:col>
      <xdr:colOff>82930</xdr:colOff>
      <xdr:row>3</xdr:row>
      <xdr:rowOff>74154</xdr:rowOff>
    </xdr:from>
    <xdr:to>
      <xdr:col>3</xdr:col>
      <xdr:colOff>493087</xdr:colOff>
      <xdr:row>4</xdr:row>
      <xdr:rowOff>153873</xdr:rowOff>
    </xdr:to>
    <xdr:sp macro="" textlink="">
      <xdr:nvSpPr>
        <xdr:cNvPr id="33" name="Text Box 248">
          <a:extLst>
            <a:ext uri="{FF2B5EF4-FFF2-40B4-BE49-F238E27FC236}">
              <a16:creationId xmlns:a16="http://schemas.microsoft.com/office/drawing/2014/main" id="{00000000-0008-0000-0100-000021000000}"/>
            </a:ext>
          </a:extLst>
        </xdr:cNvPr>
        <xdr:cNvSpPr txBox="1">
          <a:spLocks noChangeArrowheads="1"/>
        </xdr:cNvSpPr>
      </xdr:nvSpPr>
      <xdr:spPr bwMode="auto">
        <a:xfrm>
          <a:off x="3149980" y="559929"/>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4</xdr:col>
      <xdr:colOff>786366</xdr:colOff>
      <xdr:row>32</xdr:row>
      <xdr:rowOff>51348</xdr:rowOff>
    </xdr:from>
    <xdr:to>
      <xdr:col>5</xdr:col>
      <xdr:colOff>61458</xdr:colOff>
      <xdr:row>33</xdr:row>
      <xdr:rowOff>125538</xdr:rowOff>
    </xdr:to>
    <xdr:sp macro="" textlink="">
      <xdr:nvSpPr>
        <xdr:cNvPr id="34" name="Text Box 279">
          <a:extLst>
            <a:ext uri="{FF2B5EF4-FFF2-40B4-BE49-F238E27FC236}">
              <a16:creationId xmlns:a16="http://schemas.microsoft.com/office/drawing/2014/main" id="{00000000-0008-0000-0100-000022000000}"/>
            </a:ext>
          </a:extLst>
        </xdr:cNvPr>
        <xdr:cNvSpPr txBox="1">
          <a:spLocks noChangeArrowheads="1"/>
        </xdr:cNvSpPr>
      </xdr:nvSpPr>
      <xdr:spPr bwMode="auto">
        <a:xfrm>
          <a:off x="5196441" y="5232948"/>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2</xdr:col>
      <xdr:colOff>551311</xdr:colOff>
      <xdr:row>7</xdr:row>
      <xdr:rowOff>49455</xdr:rowOff>
    </xdr:from>
    <xdr:to>
      <xdr:col>2</xdr:col>
      <xdr:colOff>1014103</xdr:colOff>
      <xdr:row>8</xdr:row>
      <xdr:rowOff>110805</xdr:rowOff>
    </xdr:to>
    <xdr:sp macro="" textlink="">
      <xdr:nvSpPr>
        <xdr:cNvPr id="35" name="Text Box 247">
          <a:extLst>
            <a:ext uri="{FF2B5EF4-FFF2-40B4-BE49-F238E27FC236}">
              <a16:creationId xmlns:a16="http://schemas.microsoft.com/office/drawing/2014/main" id="{00000000-0008-0000-0100-000023000000}"/>
            </a:ext>
          </a:extLst>
        </xdr:cNvPr>
        <xdr:cNvSpPr txBox="1">
          <a:spLocks noChangeArrowheads="1"/>
        </xdr:cNvSpPr>
      </xdr:nvSpPr>
      <xdr:spPr bwMode="auto">
        <a:xfrm>
          <a:off x="2542036" y="1182930"/>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2</xdr:col>
      <xdr:colOff>335584</xdr:colOff>
      <xdr:row>3</xdr:row>
      <xdr:rowOff>102202</xdr:rowOff>
    </xdr:from>
    <xdr:to>
      <xdr:col>2</xdr:col>
      <xdr:colOff>711593</xdr:colOff>
      <xdr:row>5</xdr:row>
      <xdr:rowOff>31554</xdr:rowOff>
    </xdr:to>
    <xdr:sp macro="" textlink="">
      <xdr:nvSpPr>
        <xdr:cNvPr id="36" name="Text Box 249">
          <a:extLst>
            <a:ext uri="{FF2B5EF4-FFF2-40B4-BE49-F238E27FC236}">
              <a16:creationId xmlns:a16="http://schemas.microsoft.com/office/drawing/2014/main" id="{00000000-0008-0000-0100-000024000000}"/>
            </a:ext>
          </a:extLst>
        </xdr:cNvPr>
        <xdr:cNvSpPr txBox="1">
          <a:spLocks noChangeArrowheads="1"/>
        </xdr:cNvSpPr>
      </xdr:nvSpPr>
      <xdr:spPr bwMode="auto">
        <a:xfrm>
          <a:off x="2326309" y="587977"/>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2</xdr:col>
      <xdr:colOff>358133</xdr:colOff>
      <xdr:row>5</xdr:row>
      <xdr:rowOff>25459</xdr:rowOff>
    </xdr:from>
    <xdr:to>
      <xdr:col>2</xdr:col>
      <xdr:colOff>810191</xdr:colOff>
      <xdr:row>6</xdr:row>
      <xdr:rowOff>97632</xdr:rowOff>
    </xdr:to>
    <xdr:sp macro="" textlink="">
      <xdr:nvSpPr>
        <xdr:cNvPr id="37" name="Text Box 279">
          <a:extLst>
            <a:ext uri="{FF2B5EF4-FFF2-40B4-BE49-F238E27FC236}">
              <a16:creationId xmlns:a16="http://schemas.microsoft.com/office/drawing/2014/main" id="{00000000-0008-0000-0100-000025000000}"/>
            </a:ext>
          </a:extLst>
        </xdr:cNvPr>
        <xdr:cNvSpPr txBox="1">
          <a:spLocks noChangeArrowheads="1"/>
        </xdr:cNvSpPr>
      </xdr:nvSpPr>
      <xdr:spPr bwMode="auto">
        <a:xfrm>
          <a:off x="2348858" y="835084"/>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542992</xdr:colOff>
      <xdr:row>8</xdr:row>
      <xdr:rowOff>130514</xdr:rowOff>
    </xdr:from>
    <xdr:to>
      <xdr:col>7</xdr:col>
      <xdr:colOff>232513</xdr:colOff>
      <xdr:row>10</xdr:row>
      <xdr:rowOff>82171</xdr:rowOff>
    </xdr:to>
    <xdr:sp macro="" textlink="">
      <xdr:nvSpPr>
        <xdr:cNvPr id="38" name="Text Box 235">
          <a:extLst>
            <a:ext uri="{FF2B5EF4-FFF2-40B4-BE49-F238E27FC236}">
              <a16:creationId xmlns:a16="http://schemas.microsoft.com/office/drawing/2014/main" id="{00000000-0008-0000-0100-000026000000}"/>
            </a:ext>
          </a:extLst>
        </xdr:cNvPr>
        <xdr:cNvSpPr txBox="1">
          <a:spLocks noChangeArrowheads="1"/>
        </xdr:cNvSpPr>
      </xdr:nvSpPr>
      <xdr:spPr bwMode="auto">
        <a:xfrm>
          <a:off x="7477192" y="1425914"/>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6</xdr:col>
      <xdr:colOff>493138</xdr:colOff>
      <xdr:row>11</xdr:row>
      <xdr:rowOff>33204</xdr:rowOff>
    </xdr:from>
    <xdr:to>
      <xdr:col>7</xdr:col>
      <xdr:colOff>292216</xdr:colOff>
      <xdr:row>12</xdr:row>
      <xdr:rowOff>79640</xdr:rowOff>
    </xdr:to>
    <xdr:sp macro="" textlink="'Variable Management'!D339">
      <xdr:nvSpPr>
        <xdr:cNvPr id="39" name="Text Box 275">
          <a:extLst>
            <a:ext uri="{FF2B5EF4-FFF2-40B4-BE49-F238E27FC236}">
              <a16:creationId xmlns:a16="http://schemas.microsoft.com/office/drawing/2014/main" id="{00000000-0008-0000-0100-000027000000}"/>
            </a:ext>
          </a:extLst>
        </xdr:cNvPr>
        <xdr:cNvSpPr txBox="1">
          <a:spLocks noChangeArrowheads="1" noTextEdit="1"/>
        </xdr:cNvSpPr>
      </xdr:nvSpPr>
      <xdr:spPr bwMode="auto">
        <a:xfrm>
          <a:off x="7427338" y="1814379"/>
          <a:ext cx="446778" cy="208361"/>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442930</xdr:colOff>
      <xdr:row>7</xdr:row>
      <xdr:rowOff>145281</xdr:rowOff>
    </xdr:from>
    <xdr:to>
      <xdr:col>7</xdr:col>
      <xdr:colOff>686791</xdr:colOff>
      <xdr:row>9</xdr:row>
      <xdr:rowOff>42727</xdr:rowOff>
    </xdr:to>
    <xdr:sp macro="" textlink="">
      <xdr:nvSpPr>
        <xdr:cNvPr id="40" name="Text Box 234">
          <a:extLst>
            <a:ext uri="{FF2B5EF4-FFF2-40B4-BE49-F238E27FC236}">
              <a16:creationId xmlns:a16="http://schemas.microsoft.com/office/drawing/2014/main" id="{00000000-0008-0000-0100-000028000000}"/>
            </a:ext>
          </a:extLst>
        </xdr:cNvPr>
        <xdr:cNvSpPr txBox="1">
          <a:spLocks noChangeArrowheads="1"/>
        </xdr:cNvSpPr>
      </xdr:nvSpPr>
      <xdr:spPr bwMode="auto">
        <a:xfrm>
          <a:off x="8024830" y="1278756"/>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7</xdr:col>
      <xdr:colOff>333992</xdr:colOff>
      <xdr:row>9</xdr:row>
      <xdr:rowOff>5547</xdr:rowOff>
    </xdr:from>
    <xdr:to>
      <xdr:col>7</xdr:col>
      <xdr:colOff>814937</xdr:colOff>
      <xdr:row>10</xdr:row>
      <xdr:rowOff>117614</xdr:rowOff>
    </xdr:to>
    <xdr:sp macro="" textlink="'Variable Management'!D341">
      <xdr:nvSpPr>
        <xdr:cNvPr id="41" name="Text Box 275">
          <a:extLst>
            <a:ext uri="{FF2B5EF4-FFF2-40B4-BE49-F238E27FC236}">
              <a16:creationId xmlns:a16="http://schemas.microsoft.com/office/drawing/2014/main" id="{00000000-0008-0000-0100-000029000000}"/>
            </a:ext>
          </a:extLst>
        </xdr:cNvPr>
        <xdr:cNvSpPr txBox="1">
          <a:spLocks noChangeArrowheads="1" noTextEdit="1"/>
        </xdr:cNvSpPr>
      </xdr:nvSpPr>
      <xdr:spPr bwMode="auto">
        <a:xfrm>
          <a:off x="7915892" y="1462872"/>
          <a:ext cx="480945" cy="273992"/>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699873</xdr:colOff>
      <xdr:row>11</xdr:row>
      <xdr:rowOff>119100</xdr:rowOff>
    </xdr:from>
    <xdr:to>
      <xdr:col>8</xdr:col>
      <xdr:colOff>8795</xdr:colOff>
      <xdr:row>13</xdr:row>
      <xdr:rowOff>26530</xdr:rowOff>
    </xdr:to>
    <xdr:sp macro="" textlink="">
      <xdr:nvSpPr>
        <xdr:cNvPr id="42" name="Text Box 228">
          <a:extLst>
            <a:ext uri="{FF2B5EF4-FFF2-40B4-BE49-F238E27FC236}">
              <a16:creationId xmlns:a16="http://schemas.microsoft.com/office/drawing/2014/main" id="{00000000-0008-0000-0100-00002A000000}"/>
            </a:ext>
          </a:extLst>
        </xdr:cNvPr>
        <xdr:cNvSpPr txBox="1">
          <a:spLocks noChangeArrowheads="1"/>
        </xdr:cNvSpPr>
      </xdr:nvSpPr>
      <xdr:spPr bwMode="auto">
        <a:xfrm>
          <a:off x="8281773" y="1900275"/>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7</xdr:col>
      <xdr:colOff>673381</xdr:colOff>
      <xdr:row>13</xdr:row>
      <xdr:rowOff>4119</xdr:rowOff>
    </xdr:from>
    <xdr:to>
      <xdr:col>8</xdr:col>
      <xdr:colOff>37004</xdr:colOff>
      <xdr:row>14</xdr:row>
      <xdr:rowOff>47211</xdr:rowOff>
    </xdr:to>
    <xdr:sp macro="" textlink="'Variable Management'!D345">
      <xdr:nvSpPr>
        <xdr:cNvPr id="43" name="Text Box 267">
          <a:extLst>
            <a:ext uri="{FF2B5EF4-FFF2-40B4-BE49-F238E27FC236}">
              <a16:creationId xmlns:a16="http://schemas.microsoft.com/office/drawing/2014/main" id="{00000000-0008-0000-0100-00002B000000}"/>
            </a:ext>
          </a:extLst>
        </xdr:cNvPr>
        <xdr:cNvSpPr txBox="1">
          <a:spLocks noChangeArrowheads="1" noTextEdit="1"/>
        </xdr:cNvSpPr>
      </xdr:nvSpPr>
      <xdr:spPr bwMode="auto">
        <a:xfrm>
          <a:off x="8255281" y="2109144"/>
          <a:ext cx="439948" cy="205017"/>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1286322</xdr:colOff>
      <xdr:row>32</xdr:row>
      <xdr:rowOff>88557</xdr:rowOff>
    </xdr:from>
    <xdr:to>
      <xdr:col>4</xdr:col>
      <xdr:colOff>380940</xdr:colOff>
      <xdr:row>33</xdr:row>
      <xdr:rowOff>160844</xdr:rowOff>
    </xdr:to>
    <xdr:sp macro="" textlink="'Variable Management'!B382">
      <xdr:nvSpPr>
        <xdr:cNvPr id="44" name="Text Box 281">
          <a:extLst>
            <a:ext uri="{FF2B5EF4-FFF2-40B4-BE49-F238E27FC236}">
              <a16:creationId xmlns:a16="http://schemas.microsoft.com/office/drawing/2014/main" id="{00000000-0008-0000-0100-00002C000000}"/>
            </a:ext>
          </a:extLst>
        </xdr:cNvPr>
        <xdr:cNvSpPr txBox="1">
          <a:spLocks noChangeArrowheads="1" noTextEdit="1"/>
        </xdr:cNvSpPr>
      </xdr:nvSpPr>
      <xdr:spPr bwMode="auto">
        <a:xfrm>
          <a:off x="4353372" y="5270157"/>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8</xdr:col>
      <xdr:colOff>317575</xdr:colOff>
      <xdr:row>10</xdr:row>
      <xdr:rowOff>5781</xdr:rowOff>
    </xdr:from>
    <xdr:to>
      <xdr:col>8</xdr:col>
      <xdr:colOff>796749</xdr:colOff>
      <xdr:row>11</xdr:row>
      <xdr:rowOff>88468</xdr:rowOff>
    </xdr:to>
    <xdr:sp macro="" textlink="'Variable Management'!D343">
      <xdr:nvSpPr>
        <xdr:cNvPr id="45" name="Text Box 285">
          <a:extLst>
            <a:ext uri="{FF2B5EF4-FFF2-40B4-BE49-F238E27FC236}">
              <a16:creationId xmlns:a16="http://schemas.microsoft.com/office/drawing/2014/main" id="{00000000-0008-0000-0100-00002D000000}"/>
            </a:ext>
          </a:extLst>
        </xdr:cNvPr>
        <xdr:cNvSpPr txBox="1">
          <a:spLocks noChangeArrowheads="1" noTextEdit="1"/>
        </xdr:cNvSpPr>
      </xdr:nvSpPr>
      <xdr:spPr bwMode="auto">
        <a:xfrm>
          <a:off x="8975800" y="1625031"/>
          <a:ext cx="479174" cy="24461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5V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8</xdr:col>
      <xdr:colOff>327414</xdr:colOff>
      <xdr:row>11</xdr:row>
      <xdr:rowOff>58203</xdr:rowOff>
    </xdr:from>
    <xdr:to>
      <xdr:col>8</xdr:col>
      <xdr:colOff>780962</xdr:colOff>
      <xdr:row>12</xdr:row>
      <xdr:rowOff>138832</xdr:rowOff>
    </xdr:to>
    <xdr:sp macro="" textlink="'Variable Management'!D386">
      <xdr:nvSpPr>
        <xdr:cNvPr id="46" name="Text Box 286">
          <a:extLst>
            <a:ext uri="{FF2B5EF4-FFF2-40B4-BE49-F238E27FC236}">
              <a16:creationId xmlns:a16="http://schemas.microsoft.com/office/drawing/2014/main" id="{00000000-0008-0000-0100-00002E000000}"/>
            </a:ext>
          </a:extLst>
        </xdr:cNvPr>
        <xdr:cNvSpPr txBox="1">
          <a:spLocks noChangeArrowheads="1" noTextEdit="1"/>
        </xdr:cNvSpPr>
      </xdr:nvSpPr>
      <xdr:spPr bwMode="auto">
        <a:xfrm>
          <a:off x="8985639" y="1839378"/>
          <a:ext cx="453548" cy="242554"/>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8A</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4</xdr:col>
      <xdr:colOff>360386</xdr:colOff>
      <xdr:row>31</xdr:row>
      <xdr:rowOff>44509</xdr:rowOff>
    </xdr:from>
    <xdr:to>
      <xdr:col>4</xdr:col>
      <xdr:colOff>687542</xdr:colOff>
      <xdr:row>32</xdr:row>
      <xdr:rowOff>142603</xdr:rowOff>
    </xdr:to>
    <xdr:sp macro="" textlink="">
      <xdr:nvSpPr>
        <xdr:cNvPr id="47" name="Text Box 251">
          <a:extLst>
            <a:ext uri="{FF2B5EF4-FFF2-40B4-BE49-F238E27FC236}">
              <a16:creationId xmlns:a16="http://schemas.microsoft.com/office/drawing/2014/main" id="{00000000-0008-0000-0100-00002F000000}"/>
            </a:ext>
          </a:extLst>
        </xdr:cNvPr>
        <xdr:cNvSpPr txBox="1">
          <a:spLocks noChangeArrowheads="1"/>
        </xdr:cNvSpPr>
      </xdr:nvSpPr>
      <xdr:spPr bwMode="auto">
        <a:xfrm>
          <a:off x="4770461" y="5064184"/>
          <a:ext cx="327156" cy="2600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4</xdr:col>
      <xdr:colOff>333830</xdr:colOff>
      <xdr:row>32</xdr:row>
      <xdr:rowOff>89315</xdr:rowOff>
    </xdr:from>
    <xdr:to>
      <xdr:col>4</xdr:col>
      <xdr:colOff>771473</xdr:colOff>
      <xdr:row>33</xdr:row>
      <xdr:rowOff>161602</xdr:rowOff>
    </xdr:to>
    <xdr:sp macro="" textlink="'Variable Management'!B383">
      <xdr:nvSpPr>
        <xdr:cNvPr id="48" name="Text Box 281">
          <a:extLst>
            <a:ext uri="{FF2B5EF4-FFF2-40B4-BE49-F238E27FC236}">
              <a16:creationId xmlns:a16="http://schemas.microsoft.com/office/drawing/2014/main" id="{00000000-0008-0000-0100-000030000000}"/>
            </a:ext>
          </a:extLst>
        </xdr:cNvPr>
        <xdr:cNvSpPr txBox="1">
          <a:spLocks noChangeArrowheads="1" noTextEdit="1"/>
        </xdr:cNvSpPr>
      </xdr:nvSpPr>
      <xdr:spPr bwMode="auto">
        <a:xfrm>
          <a:off x="4743905" y="5270915"/>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1306355</xdr:colOff>
      <xdr:row>24</xdr:row>
      <xdr:rowOff>132056</xdr:rowOff>
    </xdr:from>
    <xdr:to>
      <xdr:col>6</xdr:col>
      <xdr:colOff>440271</xdr:colOff>
      <xdr:row>26</xdr:row>
      <xdr:rowOff>54540</xdr:rowOff>
    </xdr:to>
    <xdr:sp macro="" textlink="'Variable Management'!D354">
      <xdr:nvSpPr>
        <xdr:cNvPr id="49" name="Text Box 261">
          <a:extLst>
            <a:ext uri="{FF2B5EF4-FFF2-40B4-BE49-F238E27FC236}">
              <a16:creationId xmlns:a16="http://schemas.microsoft.com/office/drawing/2014/main" id="{00000000-0008-0000-0100-000031000000}"/>
            </a:ext>
          </a:extLst>
        </xdr:cNvPr>
        <xdr:cNvSpPr txBox="1">
          <a:spLocks noChangeArrowheads="1" noTextEdit="1"/>
        </xdr:cNvSpPr>
      </xdr:nvSpPr>
      <xdr:spPr bwMode="auto">
        <a:xfrm>
          <a:off x="6868955" y="4018256"/>
          <a:ext cx="505516" cy="246334"/>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18nF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812466</xdr:colOff>
      <xdr:row>25</xdr:row>
      <xdr:rowOff>4768</xdr:rowOff>
    </xdr:from>
    <xdr:to>
      <xdr:col>5</xdr:col>
      <xdr:colOff>1273227</xdr:colOff>
      <xdr:row>26</xdr:row>
      <xdr:rowOff>82260</xdr:rowOff>
    </xdr:to>
    <xdr:sp macro="" textlink="'Variable Management'!D353">
      <xdr:nvSpPr>
        <xdr:cNvPr id="50" name="Text Box 263">
          <a:extLst>
            <a:ext uri="{FF2B5EF4-FFF2-40B4-BE49-F238E27FC236}">
              <a16:creationId xmlns:a16="http://schemas.microsoft.com/office/drawing/2014/main" id="{00000000-0008-0000-0100-000032000000}"/>
            </a:ext>
          </a:extLst>
        </xdr:cNvPr>
        <xdr:cNvSpPr txBox="1">
          <a:spLocks noChangeArrowheads="1" noTextEdit="1"/>
        </xdr:cNvSpPr>
      </xdr:nvSpPr>
      <xdr:spPr bwMode="auto">
        <a:xfrm>
          <a:off x="6375066" y="4052893"/>
          <a:ext cx="460761" cy="239417"/>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1.47kΩ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1061260</xdr:colOff>
      <xdr:row>30</xdr:row>
      <xdr:rowOff>10588</xdr:rowOff>
    </xdr:from>
    <xdr:to>
      <xdr:col>6</xdr:col>
      <xdr:colOff>109866</xdr:colOff>
      <xdr:row>31</xdr:row>
      <xdr:rowOff>67162</xdr:rowOff>
    </xdr:to>
    <xdr:sp macro="" textlink="'Variable Management'!D355">
      <xdr:nvSpPr>
        <xdr:cNvPr id="51" name="Text Box 262">
          <a:extLst>
            <a:ext uri="{FF2B5EF4-FFF2-40B4-BE49-F238E27FC236}">
              <a16:creationId xmlns:a16="http://schemas.microsoft.com/office/drawing/2014/main" id="{00000000-0008-0000-0100-000033000000}"/>
            </a:ext>
          </a:extLst>
        </xdr:cNvPr>
        <xdr:cNvSpPr txBox="1">
          <a:spLocks noChangeArrowheads="1" noTextEdit="1"/>
        </xdr:cNvSpPr>
      </xdr:nvSpPr>
      <xdr:spPr bwMode="auto">
        <a:xfrm>
          <a:off x="6623860" y="4868338"/>
          <a:ext cx="420206" cy="218499"/>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100pF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1336311</xdr:colOff>
      <xdr:row>21</xdr:row>
      <xdr:rowOff>5273</xdr:rowOff>
    </xdr:from>
    <xdr:to>
      <xdr:col>6</xdr:col>
      <xdr:colOff>340720</xdr:colOff>
      <xdr:row>22</xdr:row>
      <xdr:rowOff>92154</xdr:rowOff>
    </xdr:to>
    <xdr:sp macro="" textlink="">
      <xdr:nvSpPr>
        <xdr:cNvPr id="52" name="Text Box 249">
          <a:extLst>
            <a:ext uri="{FF2B5EF4-FFF2-40B4-BE49-F238E27FC236}">
              <a16:creationId xmlns:a16="http://schemas.microsoft.com/office/drawing/2014/main" id="{00000000-0008-0000-0100-000034000000}"/>
            </a:ext>
          </a:extLst>
        </xdr:cNvPr>
        <xdr:cNvSpPr txBox="1">
          <a:spLocks noChangeArrowheads="1"/>
        </xdr:cNvSpPr>
      </xdr:nvSpPr>
      <xdr:spPr bwMode="auto">
        <a:xfrm>
          <a:off x="6898911" y="3405698"/>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5</xdr:col>
      <xdr:colOff>1353417</xdr:colOff>
      <xdr:row>22</xdr:row>
      <xdr:rowOff>50849</xdr:rowOff>
    </xdr:from>
    <xdr:to>
      <xdr:col>6</xdr:col>
      <xdr:colOff>432410</xdr:colOff>
      <xdr:row>23</xdr:row>
      <xdr:rowOff>125953</xdr:rowOff>
    </xdr:to>
    <xdr:sp macro="" textlink="">
      <xdr:nvSpPr>
        <xdr:cNvPr id="53" name="Text Box 279">
          <a:extLst>
            <a:ext uri="{FF2B5EF4-FFF2-40B4-BE49-F238E27FC236}">
              <a16:creationId xmlns:a16="http://schemas.microsoft.com/office/drawing/2014/main" id="{00000000-0008-0000-0100-000035000000}"/>
            </a:ext>
          </a:extLst>
        </xdr:cNvPr>
        <xdr:cNvSpPr txBox="1">
          <a:spLocks noChangeArrowheads="1"/>
        </xdr:cNvSpPr>
      </xdr:nvSpPr>
      <xdr:spPr bwMode="auto">
        <a:xfrm>
          <a:off x="6916017" y="3613199"/>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5</xdr:col>
      <xdr:colOff>232907</xdr:colOff>
      <xdr:row>30</xdr:row>
      <xdr:rowOff>62142</xdr:rowOff>
    </xdr:from>
    <xdr:to>
      <xdr:col>5</xdr:col>
      <xdr:colOff>720824</xdr:colOff>
      <xdr:row>31</xdr:row>
      <xdr:rowOff>85347</xdr:rowOff>
    </xdr:to>
    <xdr:sp macro="" textlink="'Variable Management'!B362">
      <xdr:nvSpPr>
        <xdr:cNvPr id="54" name="Text Box 266">
          <a:extLst>
            <a:ext uri="{FF2B5EF4-FFF2-40B4-BE49-F238E27FC236}">
              <a16:creationId xmlns:a16="http://schemas.microsoft.com/office/drawing/2014/main" id="{00000000-0008-0000-0100-000036000000}"/>
            </a:ext>
          </a:extLst>
        </xdr:cNvPr>
        <xdr:cNvSpPr txBox="1">
          <a:spLocks noChangeArrowheads="1" noTextEdit="1"/>
        </xdr:cNvSpPr>
      </xdr:nvSpPr>
      <xdr:spPr bwMode="auto">
        <a:xfrm>
          <a:off x="5795507" y="4919892"/>
          <a:ext cx="487917" cy="185130"/>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254916</xdr:colOff>
      <xdr:row>28</xdr:row>
      <xdr:rowOff>156904</xdr:rowOff>
    </xdr:from>
    <xdr:to>
      <xdr:col>5</xdr:col>
      <xdr:colOff>636692</xdr:colOff>
      <xdr:row>30</xdr:row>
      <xdr:rowOff>84367</xdr:rowOff>
    </xdr:to>
    <xdr:sp macro="" textlink="">
      <xdr:nvSpPr>
        <xdr:cNvPr id="55" name="Text Box 233">
          <a:extLst>
            <a:ext uri="{FF2B5EF4-FFF2-40B4-BE49-F238E27FC236}">
              <a16:creationId xmlns:a16="http://schemas.microsoft.com/office/drawing/2014/main" id="{00000000-0008-0000-0100-000037000000}"/>
            </a:ext>
          </a:extLst>
        </xdr:cNvPr>
        <xdr:cNvSpPr txBox="1">
          <a:spLocks noChangeArrowheads="1"/>
        </xdr:cNvSpPr>
      </xdr:nvSpPr>
      <xdr:spPr bwMode="auto">
        <a:xfrm>
          <a:off x="5817516" y="4690804"/>
          <a:ext cx="381776" cy="25131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3</xdr:col>
      <xdr:colOff>848696</xdr:colOff>
      <xdr:row>31</xdr:row>
      <xdr:rowOff>59142</xdr:rowOff>
    </xdr:from>
    <xdr:to>
      <xdr:col>3</xdr:col>
      <xdr:colOff>1286339</xdr:colOff>
      <xdr:row>32</xdr:row>
      <xdr:rowOff>135824</xdr:rowOff>
    </xdr:to>
    <xdr:sp macro="" textlink="'Variable Management'!C381">
      <xdr:nvSpPr>
        <xdr:cNvPr id="56" name="Text Box 281">
          <a:extLst>
            <a:ext uri="{FF2B5EF4-FFF2-40B4-BE49-F238E27FC236}">
              <a16:creationId xmlns:a16="http://schemas.microsoft.com/office/drawing/2014/main" id="{00000000-0008-0000-0100-000038000000}"/>
            </a:ext>
          </a:extLst>
        </xdr:cNvPr>
        <xdr:cNvSpPr txBox="1">
          <a:spLocks noChangeArrowheads="1" noTextEdit="1"/>
        </xdr:cNvSpPr>
      </xdr:nvSpPr>
      <xdr:spPr bwMode="auto">
        <a:xfrm>
          <a:off x="3915746" y="5078817"/>
          <a:ext cx="437643" cy="23860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Css1</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3</xdr:col>
      <xdr:colOff>1264865</xdr:colOff>
      <xdr:row>31</xdr:row>
      <xdr:rowOff>82588</xdr:rowOff>
    </xdr:from>
    <xdr:to>
      <xdr:col>4</xdr:col>
      <xdr:colOff>359483</xdr:colOff>
      <xdr:row>32</xdr:row>
      <xdr:rowOff>154875</xdr:rowOff>
    </xdr:to>
    <xdr:sp macro="" textlink="'Variable Management'!C382">
      <xdr:nvSpPr>
        <xdr:cNvPr id="57" name="Text Box 281">
          <a:extLst>
            <a:ext uri="{FF2B5EF4-FFF2-40B4-BE49-F238E27FC236}">
              <a16:creationId xmlns:a16="http://schemas.microsoft.com/office/drawing/2014/main" id="{00000000-0008-0000-0100-000039000000}"/>
            </a:ext>
          </a:extLst>
        </xdr:cNvPr>
        <xdr:cNvSpPr txBox="1">
          <a:spLocks noChangeArrowheads="1" noTextEdit="1"/>
        </xdr:cNvSpPr>
      </xdr:nvSpPr>
      <xdr:spPr bwMode="auto">
        <a:xfrm>
          <a:off x="4331915" y="510226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Css2</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857342</xdr:colOff>
      <xdr:row>23</xdr:row>
      <xdr:rowOff>153688</xdr:rowOff>
    </xdr:from>
    <xdr:to>
      <xdr:col>5</xdr:col>
      <xdr:colOff>1318103</xdr:colOff>
      <xdr:row>25</xdr:row>
      <xdr:rowOff>66325</xdr:rowOff>
    </xdr:to>
    <xdr:sp macro="" textlink="'Variable Management'!C353">
      <xdr:nvSpPr>
        <xdr:cNvPr id="58" name="Text Box 263">
          <a:extLst>
            <a:ext uri="{FF2B5EF4-FFF2-40B4-BE49-F238E27FC236}">
              <a16:creationId xmlns:a16="http://schemas.microsoft.com/office/drawing/2014/main" id="{00000000-0008-0000-0100-00003A000000}"/>
            </a:ext>
          </a:extLst>
        </xdr:cNvPr>
        <xdr:cNvSpPr txBox="1">
          <a:spLocks noChangeArrowheads="1" noTextEdit="1"/>
        </xdr:cNvSpPr>
      </xdr:nvSpPr>
      <xdr:spPr bwMode="auto">
        <a:xfrm>
          <a:off x="6419942" y="3877963"/>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1354107</xdr:colOff>
      <xdr:row>23</xdr:row>
      <xdr:rowOff>122915</xdr:rowOff>
    </xdr:from>
    <xdr:to>
      <xdr:col>6</xdr:col>
      <xdr:colOff>443268</xdr:colOff>
      <xdr:row>25</xdr:row>
      <xdr:rowOff>35552</xdr:rowOff>
    </xdr:to>
    <xdr:sp macro="" textlink="'Variable Management'!C354">
      <xdr:nvSpPr>
        <xdr:cNvPr id="59" name="Text Box 263">
          <a:extLst>
            <a:ext uri="{FF2B5EF4-FFF2-40B4-BE49-F238E27FC236}">
              <a16:creationId xmlns:a16="http://schemas.microsoft.com/office/drawing/2014/main" id="{00000000-0008-0000-0100-00003B000000}"/>
            </a:ext>
          </a:extLst>
        </xdr:cNvPr>
        <xdr:cNvSpPr txBox="1">
          <a:spLocks noChangeArrowheads="1" noTextEdit="1"/>
        </xdr:cNvSpPr>
      </xdr:nvSpPr>
      <xdr:spPr bwMode="auto">
        <a:xfrm>
          <a:off x="6916707" y="3847190"/>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1147488</xdr:colOff>
      <xdr:row>28</xdr:row>
      <xdr:rowOff>136836</xdr:rowOff>
    </xdr:from>
    <xdr:to>
      <xdr:col>6</xdr:col>
      <xdr:colOff>236649</xdr:colOff>
      <xdr:row>30</xdr:row>
      <xdr:rowOff>49473</xdr:rowOff>
    </xdr:to>
    <xdr:sp macro="" textlink="'Variable Management'!C355">
      <xdr:nvSpPr>
        <xdr:cNvPr id="60" name="Text Box 263">
          <a:extLst>
            <a:ext uri="{FF2B5EF4-FFF2-40B4-BE49-F238E27FC236}">
              <a16:creationId xmlns:a16="http://schemas.microsoft.com/office/drawing/2014/main" id="{00000000-0008-0000-0100-00003C000000}"/>
            </a:ext>
          </a:extLst>
        </xdr:cNvPr>
        <xdr:cNvSpPr txBox="1">
          <a:spLocks noChangeArrowheads="1" noTextEdit="1"/>
        </xdr:cNvSpPr>
      </xdr:nvSpPr>
      <xdr:spPr bwMode="auto">
        <a:xfrm>
          <a:off x="6710088" y="4670736"/>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xdr:twoCellAnchor>
    <xdr:from>
      <xdr:col>3</xdr:col>
      <xdr:colOff>1047750</xdr:colOff>
      <xdr:row>14</xdr:row>
      <xdr:rowOff>38100</xdr:rowOff>
    </xdr:from>
    <xdr:to>
      <xdr:col>4</xdr:col>
      <xdr:colOff>928321</xdr:colOff>
      <xdr:row>20</xdr:row>
      <xdr:rowOff>19050</xdr:rowOff>
    </xdr:to>
    <xdr:sp macro="" textlink="'Variable Management'!X25">
      <xdr:nvSpPr>
        <xdr:cNvPr id="61" name="Text Box 2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4114800" y="2305050"/>
          <a:ext cx="1223596" cy="952500"/>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LM5143-Q1</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257175</xdr:colOff>
      <xdr:row>6</xdr:row>
      <xdr:rowOff>114300</xdr:rowOff>
    </xdr:from>
    <xdr:to>
      <xdr:col>12</xdr:col>
      <xdr:colOff>369105</xdr:colOff>
      <xdr:row>43</xdr:row>
      <xdr:rowOff>66675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1619250"/>
          <a:ext cx="7427130" cy="5943600"/>
        </a:xfrm>
        <a:prstGeom prst="rect">
          <a:avLst/>
        </a:prstGeom>
      </xdr:spPr>
    </xdr:pic>
    <xdr:clientData/>
  </xdr:twoCellAnchor>
  <xdr:twoCellAnchor editAs="oneCell">
    <xdr:from>
      <xdr:col>12</xdr:col>
      <xdr:colOff>542925</xdr:colOff>
      <xdr:row>6</xdr:row>
      <xdr:rowOff>114299</xdr:rowOff>
    </xdr:from>
    <xdr:to>
      <xdr:col>24</xdr:col>
      <xdr:colOff>17043</xdr:colOff>
      <xdr:row>43</xdr:row>
      <xdr:rowOff>66674</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8125" y="1619249"/>
          <a:ext cx="7408443" cy="594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352425</xdr:colOff>
      <xdr:row>23</xdr:row>
      <xdr:rowOff>104775</xdr:rowOff>
    </xdr:from>
    <xdr:to>
      <xdr:col>19</xdr:col>
      <xdr:colOff>561975</xdr:colOff>
      <xdr:row>54</xdr:row>
      <xdr:rowOff>152400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1925300" y="4057650"/>
          <a:ext cx="6286500" cy="51625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354">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27nF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363">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10kΩ</a:t>
            </a:fld>
            <a:endParaRPr lang="el-GR" sz="1000" b="1" i="0" u="none" strike="noStrike" baseline="0">
              <a:solidFill>
                <a:srgbClr val="000000"/>
              </a:solidFill>
              <a:latin typeface="Arial"/>
              <a:cs typeface="Arial"/>
            </a:endParaRPr>
          </a:p>
        </xdr:txBody>
      </xdr:sp>
      <xdr:sp macro="" textlink="$A$364">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2.21kΩ</a:t>
            </a:fld>
            <a:endParaRPr lang="el-GR" sz="1000" b="1" i="0" u="none" strike="noStrike" baseline="0">
              <a:solidFill>
                <a:srgbClr val="000000"/>
              </a:solidFill>
              <a:latin typeface="Arial"/>
              <a:cs typeface="Arial"/>
            </a:endParaRPr>
          </a:p>
        </xdr:txBody>
      </xdr:sp>
      <xdr:sp macro="" textlink="$A$353">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0.976kΩ</a:t>
            </a:fld>
            <a:endParaRPr lang="el-GR" sz="1000" b="1" i="0" u="none" strike="noStrike" baseline="0">
              <a:solidFill>
                <a:srgbClr val="000000"/>
              </a:solidFill>
              <a:latin typeface="Arial"/>
              <a:cs typeface="Arial"/>
            </a:endParaRPr>
          </a:p>
        </xdr:txBody>
      </xdr:sp>
      <xdr:sp macro="" textlink="$A$343">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3.3V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357">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358">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359">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30MHz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16</xdr:col>
      <xdr:colOff>381000</xdr:colOff>
      <xdr:row>3</xdr:row>
      <xdr:rowOff>1960</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55244</xdr:colOff>
      <xdr:row>14</xdr:row>
      <xdr:rowOff>163829</xdr:rowOff>
    </xdr:from>
    <xdr:to>
      <xdr:col>12</xdr:col>
      <xdr:colOff>443864</xdr:colOff>
      <xdr:row>43</xdr:row>
      <xdr:rowOff>106679</xdr:rowOff>
    </xdr:to>
    <xdr:graphicFrame macro="">
      <xdr:nvGraphicFramePr>
        <xdr:cNvPr id="2" name="Chart 102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6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6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135°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135°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30</xdr:col>
      <xdr:colOff>874395</xdr:colOff>
      <xdr:row>44</xdr:row>
      <xdr:rowOff>38100</xdr:rowOff>
    </xdr:from>
    <xdr:to>
      <xdr:col>41</xdr:col>
      <xdr:colOff>668655</xdr:colOff>
      <xdr:row>73</xdr:row>
      <xdr:rowOff>57150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880110</xdr:colOff>
      <xdr:row>13</xdr:row>
      <xdr:rowOff>78105</xdr:rowOff>
    </xdr:from>
    <xdr:to>
      <xdr:col>40</xdr:col>
      <xdr:colOff>579120</xdr:colOff>
      <xdr:row>42</xdr:row>
      <xdr:rowOff>106680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146685</xdr:colOff>
      <xdr:row>13</xdr:row>
      <xdr:rowOff>101992</xdr:rowOff>
    </xdr:from>
    <xdr:to>
      <xdr:col>29</xdr:col>
      <xdr:colOff>578972</xdr:colOff>
      <xdr:row>42</xdr:row>
      <xdr:rowOff>130567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368">
      <xdr:nvSpPr>
        <xdr:cNvPr id="5" name="Text Box 24">
          <a:extLst>
            <a:ext uri="{FF2B5EF4-FFF2-40B4-BE49-F238E27FC236}">
              <a16:creationId xmlns:a16="http://schemas.microsoft.com/office/drawing/2014/main" id="{00000000-0008-0000-07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73%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369">
      <xdr:nvSpPr>
        <xdr:cNvPr id="6" name="Text Box 24">
          <a:extLst>
            <a:ext uri="{FF2B5EF4-FFF2-40B4-BE49-F238E27FC236}">
              <a16:creationId xmlns:a16="http://schemas.microsoft.com/office/drawing/2014/main" id="{00000000-0008-0000-07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68.7%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18</xdr:col>
      <xdr:colOff>586740</xdr:colOff>
      <xdr:row>44</xdr:row>
      <xdr:rowOff>7620</xdr:rowOff>
    </xdr:from>
    <xdr:to>
      <xdr:col>29</xdr:col>
      <xdr:colOff>575310</xdr:colOff>
      <xdr:row>72</xdr:row>
      <xdr:rowOff>112395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29</xdr:col>
      <xdr:colOff>647700</xdr:colOff>
      <xdr:row>40</xdr:row>
      <xdr:rowOff>38100</xdr:rowOff>
    </xdr:from>
    <xdr:to>
      <xdr:col>40</xdr:col>
      <xdr:colOff>438150</xdr:colOff>
      <xdr:row>69</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619125</xdr:colOff>
      <xdr:row>10</xdr:row>
      <xdr:rowOff>19050</xdr:rowOff>
    </xdr:from>
    <xdr:to>
      <xdr:col>39</xdr:col>
      <xdr:colOff>466725</xdr:colOff>
      <xdr:row>39</xdr:row>
      <xdr:rowOff>47625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104775</xdr:colOff>
      <xdr:row>10</xdr:row>
      <xdr:rowOff>2932</xdr:rowOff>
    </xdr:from>
    <xdr:to>
      <xdr:col>29</xdr:col>
      <xdr:colOff>479912</xdr:colOff>
      <xdr:row>39</xdr:row>
      <xdr:rowOff>31507</xdr:rowOff>
    </xdr:to>
    <xdr:graphicFrame macro="">
      <xdr:nvGraphicFramePr>
        <xdr:cNvPr id="4" name="Chart 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174994</xdr:colOff>
      <xdr:row>4</xdr:row>
      <xdr:rowOff>1021934</xdr:rowOff>
    </xdr:from>
    <xdr:to>
      <xdr:col>4</xdr:col>
      <xdr:colOff>519382</xdr:colOff>
      <xdr:row>4</xdr:row>
      <xdr:rowOff>1280181</xdr:rowOff>
    </xdr:to>
    <xdr:sp macro="" textlink="">
      <xdr:nvSpPr>
        <xdr:cNvPr id="6" name="Text Box 225">
          <a:extLst>
            <a:ext uri="{FF2B5EF4-FFF2-40B4-BE49-F238E27FC236}">
              <a16:creationId xmlns:a16="http://schemas.microsoft.com/office/drawing/2014/main" id="{00000000-0008-0000-0A00-000006000000}"/>
            </a:ext>
          </a:extLst>
        </xdr:cNvPr>
        <xdr:cNvSpPr txBox="1">
          <a:spLocks noChangeArrowheads="1"/>
        </xdr:cNvSpPr>
      </xdr:nvSpPr>
      <xdr:spPr bwMode="auto">
        <a:xfrm>
          <a:off x="10727037" y="1684543"/>
          <a:ext cx="344388"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4</xdr:col>
      <xdr:colOff>138496</xdr:colOff>
      <xdr:row>4</xdr:row>
      <xdr:rowOff>1612609</xdr:rowOff>
    </xdr:from>
    <xdr:to>
      <xdr:col>4</xdr:col>
      <xdr:colOff>535387</xdr:colOff>
      <xdr:row>4</xdr:row>
      <xdr:rowOff>1813486</xdr:rowOff>
    </xdr:to>
    <xdr:sp macro="" textlink="">
      <xdr:nvSpPr>
        <xdr:cNvPr id="19" name="Text Box 255">
          <a:extLst>
            <a:ext uri="{FF2B5EF4-FFF2-40B4-BE49-F238E27FC236}">
              <a16:creationId xmlns:a16="http://schemas.microsoft.com/office/drawing/2014/main" id="{00000000-0008-0000-0A00-000013000000}"/>
            </a:ext>
          </a:extLst>
        </xdr:cNvPr>
        <xdr:cNvSpPr txBox="1">
          <a:spLocks noChangeArrowheads="1"/>
        </xdr:cNvSpPr>
      </xdr:nvSpPr>
      <xdr:spPr bwMode="auto">
        <a:xfrm>
          <a:off x="10690539" y="2275218"/>
          <a:ext cx="396891"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4</xdr:col>
      <xdr:colOff>75295</xdr:colOff>
      <xdr:row>4</xdr:row>
      <xdr:rowOff>1815109</xdr:rowOff>
    </xdr:from>
    <xdr:to>
      <xdr:col>4</xdr:col>
      <xdr:colOff>593447</xdr:colOff>
      <xdr:row>4</xdr:row>
      <xdr:rowOff>1990573</xdr:rowOff>
    </xdr:to>
    <xdr:sp macro="" textlink="'Variable Management'!B364">
      <xdr:nvSpPr>
        <xdr:cNvPr id="26" name="Text Box 264">
          <a:extLst>
            <a:ext uri="{FF2B5EF4-FFF2-40B4-BE49-F238E27FC236}">
              <a16:creationId xmlns:a16="http://schemas.microsoft.com/office/drawing/2014/main" id="{00000000-0008-0000-0A00-00001A000000}"/>
            </a:ext>
          </a:extLst>
        </xdr:cNvPr>
        <xdr:cNvSpPr txBox="1">
          <a:spLocks noChangeArrowheads="1" noTextEdit="1"/>
        </xdr:cNvSpPr>
      </xdr:nvSpPr>
      <xdr:spPr bwMode="auto">
        <a:xfrm>
          <a:off x="10627338" y="2477718"/>
          <a:ext cx="518152" cy="175464"/>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2.21kΩ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4</xdr:col>
      <xdr:colOff>183706</xdr:colOff>
      <xdr:row>4</xdr:row>
      <xdr:rowOff>1194204</xdr:rowOff>
    </xdr:from>
    <xdr:to>
      <xdr:col>5</xdr:col>
      <xdr:colOff>96224</xdr:colOff>
      <xdr:row>4</xdr:row>
      <xdr:rowOff>1487293</xdr:rowOff>
    </xdr:to>
    <xdr:sp macro="" textlink="'Variable Management'!B363">
      <xdr:nvSpPr>
        <xdr:cNvPr id="30" name="Text Box 268">
          <a:extLst>
            <a:ext uri="{FF2B5EF4-FFF2-40B4-BE49-F238E27FC236}">
              <a16:creationId xmlns:a16="http://schemas.microsoft.com/office/drawing/2014/main" id="{00000000-0008-0000-0A00-00001E000000}"/>
            </a:ext>
          </a:extLst>
        </xdr:cNvPr>
        <xdr:cNvSpPr txBox="1">
          <a:spLocks noChangeArrowheads="1" noTextEdit="1"/>
        </xdr:cNvSpPr>
      </xdr:nvSpPr>
      <xdr:spPr bwMode="auto">
        <a:xfrm>
          <a:off x="10735749" y="1856813"/>
          <a:ext cx="525432"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10kΩ</a:t>
          </a:fld>
          <a:endParaRPr lang="el-GR" sz="1000" b="0" i="0" strike="noStrike">
            <a:solidFill>
              <a:srgbClr val="000000"/>
            </a:solidFill>
            <a:latin typeface="Arial" pitchFamily="34" charset="0"/>
            <a:cs typeface="Arial" pitchFamily="34" charset="0"/>
          </a:endParaRPr>
        </a:p>
      </xdr:txBody>
    </xdr:sp>
    <xdr:clientData/>
  </xdr:twoCellAnchor>
  <xdr:twoCellAnchor editAs="oneCell">
    <xdr:from>
      <xdr:col>0</xdr:col>
      <xdr:colOff>704849</xdr:colOff>
      <xdr:row>7</xdr:row>
      <xdr:rowOff>3810</xdr:rowOff>
    </xdr:from>
    <xdr:to>
      <xdr:col>2</xdr:col>
      <xdr:colOff>8381</xdr:colOff>
      <xdr:row>8</xdr:row>
      <xdr:rowOff>62623</xdr:rowOff>
    </xdr:to>
    <xdr:pic>
      <xdr:nvPicPr>
        <xdr:cNvPr id="248" name="Picture 247">
          <a:extLst>
            <a:ext uri="{FF2B5EF4-FFF2-40B4-BE49-F238E27FC236}">
              <a16:creationId xmlns:a16="http://schemas.microsoft.com/office/drawing/2014/main" id="{00000000-0008-0000-0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457950"/>
          <a:ext cx="8897112" cy="5255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20954</xdr:colOff>
      <xdr:row>5</xdr:row>
      <xdr:rowOff>70049</xdr:rowOff>
    </xdr:to>
    <xdr:pic>
      <xdr:nvPicPr>
        <xdr:cNvPr id="249" name="Picture 248">
          <a:extLst>
            <a:ext uri="{FF2B5EF4-FFF2-40B4-BE49-F238E27FC236}">
              <a16:creationId xmlns:a16="http://schemas.microsoft.com/office/drawing/2014/main" id="{00000000-0008-0000-0A00-0000F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8</xdr:row>
      <xdr:rowOff>161924</xdr:rowOff>
    </xdr:from>
    <xdr:to>
      <xdr:col>2</xdr:col>
      <xdr:colOff>20954</xdr:colOff>
      <xdr:row>10</xdr:row>
      <xdr:rowOff>70049</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4849" y="11801474"/>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1.bin"/><Relationship Id="rId21" Type="http://schemas.openxmlformats.org/officeDocument/2006/relationships/comments" Target="../comments1.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57"/>
  <sheetViews>
    <sheetView tabSelected="1" topLeftCell="A42" zoomScaleNormal="100" zoomScaleSheetLayoutView="100" workbookViewId="0">
      <selection activeCell="E33" sqref="E33"/>
    </sheetView>
  </sheetViews>
  <sheetFormatPr defaultColWidth="9.140625" defaultRowHeight="12.75" x14ac:dyDescent="0.2"/>
  <cols>
    <col min="1" max="1" width="8.28515625" style="189" customWidth="1"/>
    <col min="2" max="2" width="8.28515625" style="79" customWidth="1"/>
    <col min="3" max="3" width="13.5703125" style="79" customWidth="1"/>
    <col min="4" max="4" width="8.28515625" style="79" customWidth="1"/>
    <col min="5" max="5" width="6.85546875" style="79" customWidth="1"/>
    <col min="6" max="6" width="7.5703125" style="79" customWidth="1"/>
    <col min="7" max="7" width="12.5703125" style="79" customWidth="1"/>
    <col min="8" max="8" width="11.85546875" style="79" customWidth="1"/>
    <col min="9" max="9" width="9.140625" style="79" customWidth="1"/>
    <col min="10" max="10" width="6.85546875" style="79" customWidth="1"/>
    <col min="11" max="11" width="7.5703125" style="79" customWidth="1"/>
    <col min="12" max="12" width="12.42578125" style="79" bestFit="1" customWidth="1"/>
    <col min="13" max="15" width="9.140625" style="79"/>
    <col min="16" max="16" width="10.140625" style="79" customWidth="1"/>
    <col min="17" max="17" width="89" style="79" customWidth="1"/>
    <col min="18" max="18" width="3.140625" style="79" customWidth="1"/>
    <col min="19" max="19" width="10" style="79" bestFit="1" customWidth="1"/>
    <col min="20" max="16384" width="9.140625" style="79"/>
  </cols>
  <sheetData>
    <row r="1" spans="1:18" ht="47.25" customHeight="1" x14ac:dyDescent="0.2">
      <c r="A1" s="669" t="s">
        <v>850</v>
      </c>
      <c r="B1" s="670"/>
      <c r="C1" s="670"/>
      <c r="D1" s="670"/>
      <c r="E1" s="670"/>
      <c r="F1" s="670"/>
      <c r="G1" s="670"/>
      <c r="H1" s="670"/>
      <c r="I1" s="670"/>
      <c r="J1" s="670"/>
      <c r="K1" s="670"/>
      <c r="L1" s="670"/>
      <c r="M1" s="670"/>
      <c r="N1" s="670"/>
      <c r="O1" s="670"/>
      <c r="P1" s="670"/>
      <c r="Q1" s="670"/>
      <c r="R1" s="500"/>
    </row>
    <row r="2" spans="1:18" ht="14.1" customHeight="1" x14ac:dyDescent="0.45">
      <c r="A2" s="503"/>
      <c r="B2" s="504"/>
      <c r="C2" s="504"/>
      <c r="D2" s="504"/>
      <c r="E2" s="504"/>
      <c r="F2" s="504"/>
      <c r="G2" s="504"/>
      <c r="H2" s="504"/>
      <c r="I2" s="504"/>
      <c r="J2" s="504"/>
      <c r="K2" s="504"/>
      <c r="L2" s="504"/>
      <c r="M2" s="504"/>
      <c r="N2" s="504"/>
      <c r="O2" s="518" t="s">
        <v>614</v>
      </c>
      <c r="P2" s="504"/>
      <c r="Q2" s="504"/>
      <c r="R2" s="500"/>
    </row>
    <row r="3" spans="1:18" ht="15.95" customHeight="1" x14ac:dyDescent="0.45">
      <c r="A3" s="505" t="s">
        <v>237</v>
      </c>
      <c r="B3" s="506"/>
      <c r="C3" s="517" t="s">
        <v>238</v>
      </c>
      <c r="D3" s="507"/>
      <c r="E3" s="120"/>
      <c r="F3" s="511" t="s">
        <v>146</v>
      </c>
      <c r="G3" s="512"/>
      <c r="H3" s="504"/>
      <c r="I3" s="504"/>
      <c r="J3" s="512"/>
      <c r="K3" s="513"/>
      <c r="L3" s="514"/>
      <c r="M3" s="500"/>
      <c r="N3" s="500"/>
      <c r="O3" s="668" t="s">
        <v>51</v>
      </c>
      <c r="P3" s="668"/>
      <c r="Q3" s="500" t="s">
        <v>168</v>
      </c>
      <c r="R3" s="500"/>
    </row>
    <row r="4" spans="1:18" ht="13.5" customHeight="1" thickBot="1" x14ac:dyDescent="0.35">
      <c r="A4" s="508"/>
      <c r="B4" s="509"/>
      <c r="C4" s="510"/>
      <c r="D4" s="510"/>
      <c r="E4" s="510"/>
      <c r="F4" s="510"/>
      <c r="G4" s="510"/>
      <c r="H4" s="510"/>
      <c r="I4" s="510"/>
      <c r="J4" s="510"/>
      <c r="K4" s="510"/>
      <c r="L4" s="510"/>
      <c r="M4" s="515"/>
      <c r="N4" s="515"/>
      <c r="O4" s="515"/>
      <c r="P4" s="515"/>
      <c r="Q4" s="516"/>
      <c r="R4" s="500"/>
    </row>
    <row r="5" spans="1:18" ht="20.100000000000001" customHeight="1" thickBot="1" x14ac:dyDescent="0.35">
      <c r="A5" s="184" t="s">
        <v>225</v>
      </c>
      <c r="B5" s="119"/>
      <c r="C5" s="80"/>
      <c r="D5" s="80"/>
      <c r="E5" s="82"/>
      <c r="F5" s="80"/>
      <c r="G5" s="108"/>
      <c r="H5" s="83"/>
      <c r="I5" s="83"/>
      <c r="J5" s="83"/>
      <c r="K5" s="83"/>
      <c r="L5" s="83"/>
      <c r="M5" s="83"/>
      <c r="N5" s="83"/>
      <c r="O5" s="83"/>
      <c r="P5" s="83"/>
      <c r="Q5" s="107"/>
      <c r="R5" s="500"/>
    </row>
    <row r="6" spans="1:18" ht="15.75" customHeight="1" x14ac:dyDescent="0.2">
      <c r="A6" s="267"/>
      <c r="B6" s="268"/>
      <c r="C6" s="561"/>
      <c r="D6" s="561"/>
      <c r="E6" s="561"/>
      <c r="F6" s="562"/>
      <c r="G6" s="130"/>
      <c r="H6" s="128"/>
      <c r="I6" s="83"/>
      <c r="J6" s="83"/>
      <c r="K6" s="83"/>
      <c r="L6" s="83"/>
      <c r="M6" s="83"/>
      <c r="N6" s="83"/>
      <c r="O6" s="83"/>
      <c r="P6" s="83"/>
      <c r="Q6" s="107"/>
      <c r="R6" s="500"/>
    </row>
    <row r="7" spans="1:18" ht="13.5" customHeight="1" x14ac:dyDescent="0.2">
      <c r="A7" s="258"/>
      <c r="B7" s="257"/>
      <c r="C7" s="259"/>
      <c r="D7" s="271" t="s">
        <v>791</v>
      </c>
      <c r="E7" s="272">
        <v>20</v>
      </c>
      <c r="F7" s="273" t="s">
        <v>0</v>
      </c>
      <c r="G7" s="130"/>
      <c r="H7" s="128"/>
      <c r="I7" s="83"/>
      <c r="J7" s="83"/>
      <c r="K7" s="83"/>
      <c r="L7" s="83"/>
      <c r="M7" s="83"/>
      <c r="N7" s="83"/>
      <c r="O7" s="83"/>
      <c r="P7" s="83"/>
      <c r="Q7" s="107"/>
      <c r="R7" s="500"/>
    </row>
    <row r="8" spans="1:18" ht="13.5" customHeight="1" x14ac:dyDescent="0.2">
      <c r="A8" s="258"/>
      <c r="B8" s="257"/>
      <c r="C8" s="259"/>
      <c r="D8" s="271" t="s">
        <v>792</v>
      </c>
      <c r="E8" s="272">
        <v>21</v>
      </c>
      <c r="F8" s="287" t="s">
        <v>0</v>
      </c>
      <c r="G8" s="130"/>
      <c r="H8" s="128"/>
      <c r="I8" s="83"/>
      <c r="J8" s="83"/>
      <c r="K8" s="83"/>
      <c r="L8" s="83"/>
      <c r="M8" s="83"/>
      <c r="N8" s="83"/>
      <c r="O8" s="83"/>
      <c r="P8" s="83"/>
      <c r="Q8" s="107"/>
      <c r="R8" s="500"/>
    </row>
    <row r="9" spans="1:18" ht="13.5" customHeight="1" thickBot="1" x14ac:dyDescent="0.25">
      <c r="A9" s="258"/>
      <c r="B9" s="257"/>
      <c r="C9" s="259"/>
      <c r="D9" s="271" t="s">
        <v>793</v>
      </c>
      <c r="E9" s="272">
        <v>26</v>
      </c>
      <c r="F9" s="273" t="s">
        <v>0</v>
      </c>
      <c r="G9" s="130"/>
      <c r="H9" s="128"/>
      <c r="I9" s="83"/>
      <c r="J9" s="83"/>
      <c r="K9" s="83"/>
      <c r="L9" s="83"/>
      <c r="M9" s="83"/>
      <c r="N9" s="83"/>
      <c r="O9" s="83"/>
      <c r="P9" s="83"/>
      <c r="Q9" s="107"/>
      <c r="R9" s="500"/>
    </row>
    <row r="10" spans="1:18" ht="13.5" customHeight="1" x14ac:dyDescent="0.2">
      <c r="A10" s="258"/>
      <c r="B10" s="257"/>
      <c r="C10" s="259"/>
      <c r="D10" s="271" t="s">
        <v>803</v>
      </c>
      <c r="E10" s="272">
        <v>3.3</v>
      </c>
      <c r="F10" s="273" t="s">
        <v>0</v>
      </c>
      <c r="G10" s="566"/>
      <c r="H10" s="561"/>
      <c r="I10" s="567" t="s">
        <v>637</v>
      </c>
      <c r="J10" s="568">
        <v>5</v>
      </c>
      <c r="K10" s="569" t="s">
        <v>0</v>
      </c>
      <c r="L10" s="83"/>
      <c r="M10" s="83"/>
      <c r="N10" s="83"/>
      <c r="O10" s="83"/>
      <c r="P10" s="83"/>
      <c r="Q10" s="107"/>
      <c r="R10" s="500"/>
    </row>
    <row r="11" spans="1:18" ht="15.75" customHeight="1" thickBot="1" x14ac:dyDescent="0.25">
      <c r="A11" s="258"/>
      <c r="B11" s="257"/>
      <c r="C11" s="259"/>
      <c r="D11" s="271" t="s">
        <v>804</v>
      </c>
      <c r="E11" s="272">
        <v>4</v>
      </c>
      <c r="F11" s="273" t="s">
        <v>1</v>
      </c>
      <c r="G11" s="564"/>
      <c r="H11" s="570"/>
      <c r="I11" s="571" t="s">
        <v>638</v>
      </c>
      <c r="J11" s="572">
        <v>8</v>
      </c>
      <c r="K11" s="573" t="s">
        <v>1</v>
      </c>
      <c r="L11" s="83"/>
      <c r="M11" s="83"/>
      <c r="N11" s="83"/>
      <c r="O11" s="83"/>
      <c r="P11" s="83"/>
      <c r="Q11" s="107"/>
      <c r="R11" s="500"/>
    </row>
    <row r="12" spans="1:18" ht="13.5" customHeight="1" x14ac:dyDescent="0.2">
      <c r="A12" s="258"/>
      <c r="B12" s="257"/>
      <c r="C12" s="259"/>
      <c r="D12" s="271" t="s">
        <v>794</v>
      </c>
      <c r="E12" s="274">
        <v>2100</v>
      </c>
      <c r="F12" s="273" t="s">
        <v>2</v>
      </c>
      <c r="G12" s="130"/>
      <c r="H12" s="128"/>
      <c r="I12" s="83"/>
      <c r="J12" s="83"/>
      <c r="K12" s="83"/>
      <c r="L12" s="83"/>
      <c r="M12" s="83"/>
      <c r="N12" s="83"/>
      <c r="O12" s="83"/>
      <c r="P12" s="83"/>
      <c r="Q12" s="107"/>
      <c r="R12" s="500"/>
    </row>
    <row r="13" spans="1:18" ht="13.5" customHeight="1" x14ac:dyDescent="0.2">
      <c r="A13" s="609"/>
      <c r="B13" s="257"/>
      <c r="C13" s="259"/>
      <c r="D13" s="259" t="s">
        <v>281</v>
      </c>
      <c r="E13" s="259">
        <f>IF('Standard Value Calculator'!O4/1000&gt;288, "N/A",'Standard Value Calculator'!O4/1000)</f>
        <v>10.5</v>
      </c>
      <c r="F13" s="261" t="s">
        <v>50</v>
      </c>
      <c r="G13" s="130"/>
      <c r="H13" s="128"/>
      <c r="I13" s="83"/>
      <c r="J13" s="83"/>
      <c r="K13" s="83"/>
      <c r="L13" s="83"/>
      <c r="M13" s="83"/>
      <c r="N13" s="83"/>
      <c r="O13" s="83"/>
      <c r="P13" s="83"/>
      <c r="Q13" s="107"/>
      <c r="R13" s="500"/>
    </row>
    <row r="14" spans="1:18" ht="17.25" customHeight="1" thickBot="1" x14ac:dyDescent="0.25">
      <c r="A14" s="263"/>
      <c r="B14" s="264"/>
      <c r="C14" s="265"/>
      <c r="D14" s="611" t="s">
        <v>790</v>
      </c>
      <c r="E14" s="646">
        <v>25</v>
      </c>
      <c r="F14" s="610" t="s">
        <v>226</v>
      </c>
      <c r="G14" s="130"/>
      <c r="H14" s="128"/>
      <c r="I14" s="83"/>
      <c r="J14" s="83"/>
      <c r="K14" s="83"/>
      <c r="L14" s="83"/>
      <c r="M14" s="83"/>
      <c r="N14" s="83"/>
      <c r="O14" s="83"/>
      <c r="P14" s="83"/>
      <c r="Q14" s="107"/>
      <c r="R14" s="500"/>
    </row>
    <row r="15" spans="1:18" ht="17.25" customHeight="1" x14ac:dyDescent="0.2">
      <c r="A15" s="609"/>
      <c r="B15" s="257"/>
      <c r="C15" s="259"/>
      <c r="D15" s="647"/>
      <c r="E15" s="650"/>
      <c r="F15" s="649"/>
      <c r="G15" s="130"/>
      <c r="H15" s="128"/>
      <c r="I15" s="83"/>
      <c r="J15" s="83"/>
      <c r="K15" s="83"/>
      <c r="L15" s="83"/>
      <c r="M15" s="83"/>
      <c r="N15" s="83"/>
      <c r="O15" s="83"/>
      <c r="P15" s="83"/>
      <c r="Q15" s="107"/>
      <c r="R15" s="500"/>
    </row>
    <row r="16" spans="1:18" ht="20.100000000000001" customHeight="1" thickBot="1" x14ac:dyDescent="0.35">
      <c r="A16" s="184" t="s">
        <v>818</v>
      </c>
      <c r="B16" s="132"/>
      <c r="C16" s="128"/>
      <c r="D16" s="128"/>
      <c r="E16" s="128"/>
      <c r="F16" s="128"/>
      <c r="G16" s="130"/>
      <c r="H16" s="128"/>
      <c r="I16" s="83"/>
      <c r="J16" s="83"/>
      <c r="K16" s="83"/>
      <c r="L16" s="83"/>
      <c r="M16" s="83"/>
      <c r="N16" s="83"/>
      <c r="O16" s="83"/>
      <c r="P16" s="83"/>
      <c r="Q16" s="107"/>
      <c r="R16" s="500"/>
    </row>
    <row r="17" spans="1:18" ht="15" customHeight="1" x14ac:dyDescent="0.25">
      <c r="A17" s="267"/>
      <c r="B17" s="154"/>
      <c r="C17" s="154"/>
      <c r="D17" s="156" t="s">
        <v>653</v>
      </c>
      <c r="E17" s="302">
        <v>9</v>
      </c>
      <c r="F17" s="157" t="s">
        <v>1</v>
      </c>
      <c r="G17" s="566"/>
      <c r="H17" s="175"/>
      <c r="I17" s="156" t="s">
        <v>653</v>
      </c>
      <c r="J17" s="302">
        <v>5</v>
      </c>
      <c r="K17" s="157" t="s">
        <v>1</v>
      </c>
      <c r="L17" s="83"/>
      <c r="M17" s="83"/>
      <c r="N17" s="83"/>
      <c r="O17" s="83"/>
      <c r="P17" s="83"/>
      <c r="Q17" s="107"/>
      <c r="R17" s="500"/>
    </row>
    <row r="18" spans="1:18" ht="15" customHeight="1" x14ac:dyDescent="0.2">
      <c r="A18" s="258"/>
      <c r="B18" s="128"/>
      <c r="C18" s="128"/>
      <c r="D18" s="125" t="s">
        <v>308</v>
      </c>
      <c r="E18" s="304">
        <f>Rs_ideal*1000</f>
        <v>7.3075183593050337</v>
      </c>
      <c r="F18" s="163" t="s">
        <v>49</v>
      </c>
      <c r="G18" s="130"/>
      <c r="H18" s="128"/>
      <c r="I18" s="125" t="s">
        <v>308</v>
      </c>
      <c r="J18" s="304">
        <f>Rs2_ideal*1000</f>
        <v>12.308094273221711</v>
      </c>
      <c r="K18" s="163" t="s">
        <v>49</v>
      </c>
      <c r="L18" s="83"/>
      <c r="M18" s="83"/>
      <c r="N18" s="83"/>
      <c r="O18" s="83"/>
      <c r="P18" s="83"/>
      <c r="Q18" s="107"/>
      <c r="R18" s="500"/>
    </row>
    <row r="19" spans="1:18" ht="13.7" customHeight="1" x14ac:dyDescent="0.25">
      <c r="A19" s="258"/>
      <c r="B19" s="128"/>
      <c r="C19" s="128"/>
      <c r="D19" s="153" t="s">
        <v>307</v>
      </c>
      <c r="E19" s="129">
        <v>10</v>
      </c>
      <c r="F19" s="158" t="s">
        <v>49</v>
      </c>
      <c r="G19" s="130"/>
      <c r="H19" s="128"/>
      <c r="I19" s="153" t="s">
        <v>676</v>
      </c>
      <c r="J19" s="129">
        <v>10</v>
      </c>
      <c r="K19" s="158" t="s">
        <v>49</v>
      </c>
      <c r="L19" s="83"/>
      <c r="M19" s="83"/>
      <c r="N19" s="83"/>
      <c r="O19" s="83"/>
      <c r="P19" s="83"/>
      <c r="Q19" s="107"/>
      <c r="R19" s="500"/>
    </row>
    <row r="20" spans="1:18" ht="13.5" customHeight="1" x14ac:dyDescent="0.3">
      <c r="A20" s="258"/>
      <c r="B20" s="128"/>
      <c r="C20" s="128"/>
      <c r="D20" s="529" t="s">
        <v>693</v>
      </c>
      <c r="E20" s="555">
        <f>'Variable Management'!B95</f>
        <v>7.3</v>
      </c>
      <c r="F20" s="163" t="s">
        <v>1</v>
      </c>
      <c r="G20" s="130"/>
      <c r="H20" s="128"/>
      <c r="I20" s="529" t="s">
        <v>673</v>
      </c>
      <c r="J20" s="555">
        <f>'Variable Management'!D95</f>
        <v>7.3</v>
      </c>
      <c r="K20" s="163" t="s">
        <v>1</v>
      </c>
      <c r="L20" s="83"/>
      <c r="M20" s="83"/>
      <c r="N20" s="83"/>
      <c r="O20" s="83"/>
      <c r="P20" s="83"/>
      <c r="Q20" s="107"/>
      <c r="R20" s="500"/>
    </row>
    <row r="21" spans="1:18" ht="13.7" customHeight="1" x14ac:dyDescent="0.3">
      <c r="A21" s="258"/>
      <c r="B21" s="128"/>
      <c r="C21" s="128"/>
      <c r="D21" s="529" t="s">
        <v>668</v>
      </c>
      <c r="E21" s="530">
        <f>'Variable Management'!B105</f>
        <v>0.40257832884787897</v>
      </c>
      <c r="F21" s="163" t="s">
        <v>116</v>
      </c>
      <c r="G21" s="130"/>
      <c r="H21" s="128"/>
      <c r="I21" s="529" t="s">
        <v>674</v>
      </c>
      <c r="J21" s="530">
        <f>'Variable Management'!D105</f>
        <v>0.41031072893022857</v>
      </c>
      <c r="K21" s="163" t="s">
        <v>116</v>
      </c>
      <c r="L21" s="83"/>
      <c r="M21" s="83"/>
      <c r="N21" s="83"/>
      <c r="O21" s="83"/>
      <c r="P21" s="83"/>
      <c r="Q21" s="107"/>
      <c r="R21" s="500"/>
    </row>
    <row r="22" spans="1:18" ht="13.7" customHeight="1" x14ac:dyDescent="0.3">
      <c r="A22" s="258"/>
      <c r="B22" s="128"/>
      <c r="C22" s="113"/>
      <c r="D22" s="303" t="s">
        <v>285</v>
      </c>
      <c r="E22" s="260">
        <f>'Variable Management'!B97</f>
        <v>6.3196078431372547</v>
      </c>
      <c r="F22" s="261" t="s">
        <v>1</v>
      </c>
      <c r="G22" s="130"/>
      <c r="H22" s="128"/>
      <c r="I22" s="303" t="s">
        <v>285</v>
      </c>
      <c r="J22" s="260">
        <f>'Variable Management'!D97</f>
        <v>6.3836653386454181</v>
      </c>
      <c r="K22" s="261" t="s">
        <v>1</v>
      </c>
      <c r="L22" s="83"/>
      <c r="M22" s="83"/>
      <c r="N22" s="83"/>
      <c r="O22" s="83"/>
      <c r="P22" s="83"/>
      <c r="Q22" s="107"/>
      <c r="R22" s="500"/>
    </row>
    <row r="23" spans="1:18" ht="13.7" customHeight="1" x14ac:dyDescent="0.3">
      <c r="A23" s="258"/>
      <c r="B23" s="128"/>
      <c r="C23" s="125" t="s">
        <v>517</v>
      </c>
      <c r="D23" s="303" t="s">
        <v>286</v>
      </c>
      <c r="E23" s="260">
        <f>'Variable Management'!B98</f>
        <v>6.3102885260568105</v>
      </c>
      <c r="F23" s="261" t="s">
        <v>1</v>
      </c>
      <c r="G23" s="130"/>
      <c r="H23" s="125" t="s">
        <v>672</v>
      </c>
      <c r="I23" s="303" t="s">
        <v>286</v>
      </c>
      <c r="J23" s="260">
        <f>'Variable Management'!D98</f>
        <v>6.3689437065148642</v>
      </c>
      <c r="K23" s="261" t="s">
        <v>1</v>
      </c>
      <c r="L23" s="83"/>
      <c r="M23" s="83"/>
      <c r="N23" s="83"/>
      <c r="O23" s="83"/>
      <c r="P23" s="83"/>
      <c r="Q23" s="107"/>
      <c r="R23" s="500"/>
    </row>
    <row r="24" spans="1:18" ht="13.5" customHeight="1" thickBot="1" x14ac:dyDescent="0.35">
      <c r="A24" s="282"/>
      <c r="B24" s="176"/>
      <c r="C24" s="176"/>
      <c r="D24" s="574" t="s">
        <v>287</v>
      </c>
      <c r="E24" s="575">
        <f>'Variable Management'!B99</f>
        <v>6.2744284810698474</v>
      </c>
      <c r="F24" s="284" t="s">
        <v>1</v>
      </c>
      <c r="G24" s="564"/>
      <c r="H24" s="176"/>
      <c r="I24" s="574" t="s">
        <v>287</v>
      </c>
      <c r="J24" s="575">
        <f>'Variable Management'!D99</f>
        <v>6.3122699386503065</v>
      </c>
      <c r="K24" s="284" t="s">
        <v>1</v>
      </c>
      <c r="L24" s="83"/>
      <c r="M24" s="83"/>
      <c r="N24" s="83"/>
      <c r="O24" s="83"/>
      <c r="P24" s="83"/>
      <c r="Q24" s="107"/>
      <c r="R24" s="500"/>
    </row>
    <row r="25" spans="1:18" ht="17.25" customHeight="1" x14ac:dyDescent="0.2">
      <c r="A25" s="609"/>
      <c r="B25" s="257"/>
      <c r="C25" s="259"/>
      <c r="D25" s="647"/>
      <c r="E25" s="650"/>
      <c r="F25" s="649"/>
      <c r="G25" s="130"/>
      <c r="H25" s="128"/>
      <c r="I25" s="83"/>
      <c r="J25" s="83"/>
      <c r="K25" s="83"/>
      <c r="L25" s="83"/>
      <c r="M25" s="83"/>
      <c r="N25" s="83"/>
      <c r="O25" s="83"/>
      <c r="P25" s="83"/>
      <c r="Q25" s="107"/>
      <c r="R25" s="500"/>
    </row>
    <row r="26" spans="1:18" ht="19.5" customHeight="1" thickBot="1" x14ac:dyDescent="0.35">
      <c r="A26" s="184" t="s">
        <v>819</v>
      </c>
      <c r="B26" s="132"/>
      <c r="C26" s="133"/>
      <c r="D26" s="133"/>
      <c r="E26" s="134"/>
      <c r="F26" s="133"/>
      <c r="G26" s="130"/>
      <c r="H26" s="128"/>
      <c r="I26" s="83"/>
      <c r="J26" s="83"/>
      <c r="K26" s="83"/>
      <c r="L26" s="83"/>
      <c r="M26" s="83"/>
      <c r="N26" s="83"/>
      <c r="O26" s="83"/>
      <c r="P26" s="83"/>
      <c r="Q26" s="107"/>
      <c r="R26" s="500"/>
    </row>
    <row r="27" spans="1:18" ht="13.5" customHeight="1" x14ac:dyDescent="0.2">
      <c r="A27" s="185"/>
      <c r="B27" s="154"/>
      <c r="C27" s="155"/>
      <c r="D27" s="155" t="s">
        <v>702</v>
      </c>
      <c r="E27" s="560">
        <f>Lopt*1000000</f>
        <v>0.65476190476190477</v>
      </c>
      <c r="F27" s="162" t="s">
        <v>217</v>
      </c>
      <c r="G27" s="563"/>
      <c r="H27" s="175"/>
      <c r="I27" s="155" t="s">
        <v>632</v>
      </c>
      <c r="J27" s="560">
        <f>Lopt2*1000000</f>
        <v>0.9920634920634922</v>
      </c>
      <c r="K27" s="162" t="s">
        <v>217</v>
      </c>
      <c r="L27" s="83"/>
      <c r="M27" s="83"/>
      <c r="N27" s="83"/>
      <c r="O27" s="83"/>
      <c r="P27" s="83"/>
      <c r="Q27" s="107"/>
      <c r="R27" s="500"/>
    </row>
    <row r="28" spans="1:18" ht="13.5" customHeight="1" x14ac:dyDescent="0.25">
      <c r="A28" s="127"/>
      <c r="B28" s="128"/>
      <c r="C28" s="125"/>
      <c r="D28" s="153" t="s">
        <v>634</v>
      </c>
      <c r="E28" s="129">
        <v>0.68</v>
      </c>
      <c r="F28" s="158" t="s">
        <v>217</v>
      </c>
      <c r="G28" s="130"/>
      <c r="H28" s="125"/>
      <c r="I28" s="153" t="s">
        <v>633</v>
      </c>
      <c r="J28" s="129">
        <v>1</v>
      </c>
      <c r="K28" s="158" t="s">
        <v>217</v>
      </c>
      <c r="L28" s="83"/>
      <c r="M28" s="83"/>
      <c r="N28" s="83"/>
      <c r="O28" s="83"/>
      <c r="P28" s="83"/>
      <c r="Q28" s="107"/>
      <c r="R28" s="500"/>
    </row>
    <row r="29" spans="1:18" ht="13.5" customHeight="1" x14ac:dyDescent="0.2">
      <c r="A29" s="127"/>
      <c r="B29" s="128"/>
      <c r="C29" s="125"/>
      <c r="D29" s="153" t="s">
        <v>635</v>
      </c>
      <c r="E29" s="129">
        <v>5</v>
      </c>
      <c r="F29" s="158" t="s">
        <v>49</v>
      </c>
      <c r="G29" s="130"/>
      <c r="H29" s="125"/>
      <c r="I29" s="153" t="s">
        <v>636</v>
      </c>
      <c r="J29" s="129">
        <v>9</v>
      </c>
      <c r="K29" s="158" t="s">
        <v>49</v>
      </c>
      <c r="L29" s="83"/>
      <c r="M29" s="83"/>
      <c r="N29" s="83"/>
      <c r="O29" s="83"/>
      <c r="P29" s="83"/>
      <c r="Q29" s="107"/>
      <c r="R29" s="500"/>
    </row>
    <row r="30" spans="1:18" ht="16.5" customHeight="1" thickBot="1" x14ac:dyDescent="0.25">
      <c r="A30" s="282"/>
      <c r="B30" s="283"/>
      <c r="C30" s="281"/>
      <c r="D30" s="281" t="s">
        <v>306</v>
      </c>
      <c r="E30" s="565">
        <f>'Variable Management'!B68*100</f>
        <v>49.48557369715946</v>
      </c>
      <c r="F30" s="284" t="s">
        <v>156</v>
      </c>
      <c r="G30" s="564"/>
      <c r="H30" s="176"/>
      <c r="I30" s="281" t="s">
        <v>675</v>
      </c>
      <c r="J30" s="565">
        <f>'Variable Management'!D68*100</f>
        <v>23.276407337128401</v>
      </c>
      <c r="K30" s="284" t="s">
        <v>156</v>
      </c>
      <c r="L30" s="83"/>
      <c r="M30" s="83"/>
      <c r="N30" s="83"/>
      <c r="O30" s="83"/>
      <c r="P30" s="83"/>
      <c r="Q30" s="107"/>
      <c r="R30" s="500"/>
    </row>
    <row r="31" spans="1:18" ht="14.1" customHeight="1" x14ac:dyDescent="0.2">
      <c r="A31" s="127"/>
      <c r="B31" s="128"/>
      <c r="C31" s="135"/>
      <c r="D31" s="135"/>
      <c r="E31" s="135"/>
      <c r="F31" s="135"/>
      <c r="G31" s="128"/>
      <c r="H31" s="128"/>
      <c r="I31" s="83"/>
      <c r="J31" s="83"/>
      <c r="K31" s="83"/>
      <c r="L31" s="83"/>
      <c r="M31" s="83"/>
      <c r="N31" s="83"/>
      <c r="O31" s="83"/>
      <c r="P31" s="83"/>
      <c r="Q31" s="107"/>
      <c r="R31" s="500"/>
    </row>
    <row r="32" spans="1:18" ht="19.5" thickBot="1" x14ac:dyDescent="0.35">
      <c r="A32" s="184" t="s">
        <v>616</v>
      </c>
      <c r="B32" s="132"/>
      <c r="C32" s="133"/>
      <c r="D32" s="133"/>
      <c r="E32" s="134"/>
      <c r="F32" s="133"/>
      <c r="G32" s="128"/>
      <c r="H32" s="128"/>
      <c r="I32" s="83"/>
      <c r="J32" s="83"/>
      <c r="K32" s="83"/>
      <c r="L32" s="83"/>
      <c r="M32" s="83"/>
      <c r="N32" s="83"/>
      <c r="O32" s="83"/>
      <c r="P32" s="83"/>
      <c r="Q32" s="107"/>
      <c r="R32" s="500"/>
    </row>
    <row r="33" spans="1:18" ht="15.75" customHeight="1" x14ac:dyDescent="0.25">
      <c r="A33" s="173"/>
      <c r="B33" s="164"/>
      <c r="C33" s="155"/>
      <c r="D33" s="165" t="str">
        <f>IF(MODE=1, "Ch1 Output Voltage Ripple Spec", "Output Voltage Ripple Spec")</f>
        <v>Ch1 Output Voltage Ripple Spec</v>
      </c>
      <c r="E33" s="166">
        <v>50</v>
      </c>
      <c r="F33" s="157" t="s">
        <v>230</v>
      </c>
      <c r="G33" s="585"/>
      <c r="H33" s="175"/>
      <c r="I33" s="165" t="s">
        <v>696</v>
      </c>
      <c r="J33" s="166">
        <v>50</v>
      </c>
      <c r="K33" s="157" t="s">
        <v>230</v>
      </c>
      <c r="L33" s="83"/>
      <c r="M33" s="83"/>
      <c r="N33" s="83"/>
      <c r="O33" s="83"/>
      <c r="P33" s="83"/>
      <c r="Q33" s="107"/>
      <c r="R33" s="500"/>
    </row>
    <row r="34" spans="1:18" ht="14.1" customHeight="1" x14ac:dyDescent="0.2">
      <c r="A34" s="127"/>
      <c r="B34" s="128"/>
      <c r="C34" s="125"/>
      <c r="D34" s="125" t="str">
        <f>IF(MODE=1, "Ch1 Minimum Output Capacitance", "Minimum Output Capacitance")</f>
        <v>Ch1 Minimum Output Capacitance</v>
      </c>
      <c r="E34" s="527">
        <f>'Variable Management'!B121</f>
        <v>2.3564558903409267</v>
      </c>
      <c r="F34" s="163" t="s">
        <v>218</v>
      </c>
      <c r="G34" s="128"/>
      <c r="H34" s="128"/>
      <c r="I34" s="125" t="s">
        <v>697</v>
      </c>
      <c r="J34" s="527">
        <f>'Variable Management'!D121</f>
        <v>2.2168006987741333</v>
      </c>
      <c r="K34" s="163" t="s">
        <v>218</v>
      </c>
      <c r="L34" s="83"/>
      <c r="M34" s="83"/>
      <c r="N34" s="83"/>
      <c r="O34" s="83"/>
      <c r="P34" s="83"/>
      <c r="Q34" s="107"/>
      <c r="R34" s="500"/>
    </row>
    <row r="35" spans="1:18" ht="14.1" customHeight="1" x14ac:dyDescent="0.25">
      <c r="A35" s="127"/>
      <c r="B35" s="128"/>
      <c r="C35" s="125"/>
      <c r="D35" s="124" t="s">
        <v>848</v>
      </c>
      <c r="E35" s="131">
        <v>4.7</v>
      </c>
      <c r="F35" s="158" t="s">
        <v>218</v>
      </c>
      <c r="G35" s="130"/>
      <c r="H35" s="128"/>
      <c r="I35" s="124" t="s">
        <v>849</v>
      </c>
      <c r="J35" s="131">
        <v>4.7</v>
      </c>
      <c r="K35" s="158" t="s">
        <v>218</v>
      </c>
      <c r="L35" s="673"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M35" s="674"/>
      <c r="N35" s="674"/>
      <c r="O35" s="674"/>
      <c r="P35" s="674"/>
      <c r="Q35" s="675"/>
      <c r="R35" s="500"/>
    </row>
    <row r="36" spans="1:18" ht="14.1" customHeight="1" x14ac:dyDescent="0.2">
      <c r="A36" s="127"/>
      <c r="B36" s="128"/>
      <c r="C36" s="125"/>
      <c r="D36" s="125" t="str">
        <f>IF(MODE=1, "Ch1 Maximum Permitted ESR", "Maximum Permitted ESR")</f>
        <v>Ch1 Maximum Permitted ESR</v>
      </c>
      <c r="E36" s="595">
        <f>'Variable Management'!B125</f>
        <v>21.855634902616405</v>
      </c>
      <c r="F36" s="163" t="s">
        <v>49</v>
      </c>
      <c r="G36" s="130"/>
      <c r="H36" s="128"/>
      <c r="I36" s="125" t="s">
        <v>695</v>
      </c>
      <c r="J36" s="595">
        <f>'Variable Management'!D125</f>
        <v>23.676888577565375</v>
      </c>
      <c r="K36" s="163" t="s">
        <v>49</v>
      </c>
      <c r="L36" s="673"/>
      <c r="M36" s="674"/>
      <c r="N36" s="674"/>
      <c r="O36" s="674"/>
      <c r="P36" s="674"/>
      <c r="Q36" s="675"/>
      <c r="R36" s="500"/>
    </row>
    <row r="37" spans="1:18" ht="14.1" customHeight="1" x14ac:dyDescent="0.2">
      <c r="A37" s="127"/>
      <c r="B37" s="128"/>
      <c r="C37" s="125"/>
      <c r="D37" s="124" t="str">
        <f>IF(MODE=1, "Ch1 Output Capacitor ESR", "Output Capacitor ESR")</f>
        <v>Ch1 Output Capacitor ESR</v>
      </c>
      <c r="E37" s="131">
        <v>2</v>
      </c>
      <c r="F37" s="158" t="s">
        <v>49</v>
      </c>
      <c r="G37" s="130"/>
      <c r="H37" s="128"/>
      <c r="I37" s="124" t="s">
        <v>694</v>
      </c>
      <c r="J37" s="131">
        <v>2</v>
      </c>
      <c r="K37" s="158" t="s">
        <v>49</v>
      </c>
      <c r="L37" s="644" t="str">
        <f>CHOOSE(SCH_MODE,  "", "** Tie VCCX to GND if not used **", "** Slave controller (CNTRL2) not shown **","** Slave controller (CNTRL2) not shown **")</f>
        <v/>
      </c>
      <c r="M37" s="133"/>
      <c r="N37" s="83"/>
      <c r="O37" s="83"/>
      <c r="P37" s="83"/>
      <c r="Q37" s="645" t="str">
        <f>IF(SCH_MODE=1,  "** Tie VCCX to GND if not used **", "")</f>
        <v>** Tie VCCX to GND if not used **</v>
      </c>
      <c r="R37" s="500"/>
    </row>
    <row r="38" spans="1:18" ht="14.1" customHeight="1" x14ac:dyDescent="0.3">
      <c r="A38" s="127"/>
      <c r="B38" s="128"/>
      <c r="C38" s="128"/>
      <c r="D38" s="125" t="s">
        <v>559</v>
      </c>
      <c r="E38" s="152">
        <f>'Variable Management'!B127*1000</f>
        <v>25.37934518362194</v>
      </c>
      <c r="F38" s="163" t="s">
        <v>233</v>
      </c>
      <c r="G38" s="130"/>
      <c r="H38" s="128"/>
      <c r="I38" s="125" t="s">
        <v>559</v>
      </c>
      <c r="J38" s="152">
        <f>'Variable Management'!D127*1000</f>
        <v>23.875240087495694</v>
      </c>
      <c r="K38" s="163" t="s">
        <v>233</v>
      </c>
      <c r="L38" s="279" t="str">
        <f>IF(OR(SCH_MODE=3, SCH_MODE=4),"** Tie VCCX to GND if not used **", "")</f>
        <v/>
      </c>
      <c r="M38" s="113"/>
      <c r="N38" s="83"/>
      <c r="O38" s="83"/>
      <c r="P38" s="83"/>
      <c r="Q38" s="107"/>
      <c r="R38" s="500"/>
    </row>
    <row r="39" spans="1:18" ht="14.1" customHeight="1" thickBot="1" x14ac:dyDescent="0.25">
      <c r="A39" s="159"/>
      <c r="B39" s="160"/>
      <c r="C39" s="160"/>
      <c r="D39" s="126" t="s">
        <v>560</v>
      </c>
      <c r="E39" s="590">
        <f>'Variable Management'!B114</f>
        <v>0.59211399252753694</v>
      </c>
      <c r="F39" s="161" t="s">
        <v>145</v>
      </c>
      <c r="G39" s="586"/>
      <c r="H39" s="176"/>
      <c r="I39" s="126" t="s">
        <v>560</v>
      </c>
      <c r="J39" s="590">
        <f>'Variable Management'!D114</f>
        <v>0.57026621680693101</v>
      </c>
      <c r="K39" s="161" t="s">
        <v>145</v>
      </c>
      <c r="L39" s="113"/>
      <c r="M39" s="83"/>
      <c r="N39" s="83"/>
      <c r="O39" s="83"/>
      <c r="P39" s="83"/>
      <c r="Q39" s="607"/>
      <c r="R39" s="500"/>
    </row>
    <row r="40" spans="1:18" ht="13.5" customHeight="1" x14ac:dyDescent="0.2">
      <c r="A40" s="186"/>
      <c r="B40" s="135"/>
      <c r="C40" s="135"/>
      <c r="D40" s="135"/>
      <c r="E40" s="135"/>
      <c r="F40" s="135"/>
      <c r="G40" s="128"/>
      <c r="H40" s="128"/>
      <c r="I40" s="83"/>
      <c r="J40" s="83"/>
      <c r="K40" s="83"/>
      <c r="L40" s="83"/>
      <c r="M40" s="113"/>
      <c r="N40" s="113"/>
      <c r="O40" s="113"/>
      <c r="P40" s="113"/>
      <c r="Q40" s="107"/>
      <c r="R40" s="500"/>
    </row>
    <row r="41" spans="1:18" ht="19.5" thickBot="1" x14ac:dyDescent="0.35">
      <c r="A41" s="184" t="s">
        <v>617</v>
      </c>
      <c r="B41" s="132"/>
      <c r="C41" s="133"/>
      <c r="D41" s="133"/>
      <c r="E41" s="128"/>
      <c r="F41" s="128"/>
      <c r="G41" s="128"/>
      <c r="H41" s="128"/>
      <c r="I41" s="83"/>
      <c r="J41" s="83"/>
      <c r="K41" s="83"/>
      <c r="L41" s="109"/>
      <c r="M41" s="113"/>
      <c r="N41" s="113"/>
      <c r="O41" s="83"/>
      <c r="P41" s="83"/>
      <c r="Q41" s="107"/>
      <c r="R41" s="500"/>
    </row>
    <row r="42" spans="1:18" ht="14.1" customHeight="1" x14ac:dyDescent="0.25">
      <c r="A42" s="173"/>
      <c r="B42" s="164"/>
      <c r="C42" s="154"/>
      <c r="D42" s="156" t="s">
        <v>565</v>
      </c>
      <c r="E42" s="166">
        <v>250</v>
      </c>
      <c r="F42" s="157" t="s">
        <v>230</v>
      </c>
      <c r="G42" s="128"/>
      <c r="H42" s="128"/>
      <c r="I42" s="83"/>
      <c r="J42" s="110"/>
      <c r="K42" s="83"/>
      <c r="L42" s="83"/>
      <c r="M42" s="83"/>
      <c r="N42" s="83"/>
      <c r="O42" s="83"/>
      <c r="P42" s="83"/>
      <c r="Q42" s="107"/>
      <c r="R42" s="500"/>
    </row>
    <row r="43" spans="1:18" ht="14.1" customHeight="1" x14ac:dyDescent="0.2">
      <c r="A43" s="136"/>
      <c r="B43" s="133"/>
      <c r="C43" s="128"/>
      <c r="D43" s="125" t="s">
        <v>566</v>
      </c>
      <c r="E43" s="595">
        <f>'Variable Management'!B145</f>
        <v>10</v>
      </c>
      <c r="F43" s="163" t="s">
        <v>218</v>
      </c>
      <c r="G43" s="128"/>
      <c r="H43" s="128"/>
      <c r="I43" s="83"/>
      <c r="J43" s="110"/>
      <c r="K43" s="83"/>
      <c r="L43" s="83"/>
      <c r="M43" s="271"/>
      <c r="N43" s="299"/>
      <c r="O43" s="83"/>
      <c r="P43" s="83"/>
      <c r="Q43" s="107"/>
      <c r="R43" s="500"/>
    </row>
    <row r="44" spans="1:18" ht="14.1" customHeight="1" x14ac:dyDescent="0.25">
      <c r="A44" s="127"/>
      <c r="B44" s="128"/>
      <c r="C44" s="133"/>
      <c r="D44" s="153" t="s">
        <v>282</v>
      </c>
      <c r="E44" s="129">
        <v>50</v>
      </c>
      <c r="F44" s="158" t="s">
        <v>218</v>
      </c>
      <c r="G44" s="128"/>
      <c r="H44" s="128"/>
      <c r="I44" s="83"/>
      <c r="J44" s="110"/>
      <c r="K44" s="83"/>
      <c r="L44" s="83"/>
      <c r="M44" s="83"/>
      <c r="N44" s="83"/>
      <c r="O44" s="83"/>
      <c r="P44" s="83"/>
      <c r="Q44" s="107"/>
      <c r="R44" s="500"/>
    </row>
    <row r="45" spans="1:18" ht="14.1" customHeight="1" x14ac:dyDescent="0.2">
      <c r="A45" s="127"/>
      <c r="B45" s="128"/>
      <c r="C45" s="133"/>
      <c r="D45" s="125" t="s">
        <v>833</v>
      </c>
      <c r="E45" s="526">
        <f>'Variable Management'!B150</f>
        <v>47.850516019993528</v>
      </c>
      <c r="F45" s="163" t="s">
        <v>49</v>
      </c>
      <c r="G45" s="128"/>
      <c r="H45" s="128"/>
      <c r="I45" s="83"/>
      <c r="J45" s="111"/>
      <c r="K45" s="83"/>
      <c r="L45" s="83"/>
      <c r="M45" s="83"/>
      <c r="N45" s="83"/>
      <c r="O45" s="83"/>
      <c r="P45" s="83"/>
      <c r="Q45" s="107" t="s">
        <v>178</v>
      </c>
      <c r="R45" s="500"/>
    </row>
    <row r="46" spans="1:18" ht="14.1" customHeight="1" x14ac:dyDescent="0.2">
      <c r="A46" s="127"/>
      <c r="B46" s="128"/>
      <c r="C46" s="133"/>
      <c r="D46" s="153" t="s">
        <v>480</v>
      </c>
      <c r="E46" s="129">
        <v>1</v>
      </c>
      <c r="F46" s="158" t="s">
        <v>49</v>
      </c>
      <c r="G46" s="128"/>
      <c r="H46" s="128"/>
      <c r="I46" s="83"/>
      <c r="J46" s="111"/>
      <c r="K46" s="83"/>
      <c r="L46" s="83"/>
      <c r="M46" s="83"/>
      <c r="N46" s="83"/>
      <c r="O46" s="83"/>
      <c r="P46" s="83"/>
      <c r="Q46" s="107"/>
      <c r="R46" s="500"/>
    </row>
    <row r="47" spans="1:18" ht="14.1" customHeight="1" x14ac:dyDescent="0.3">
      <c r="A47" s="127"/>
      <c r="B47" s="128"/>
      <c r="C47" s="133"/>
      <c r="D47" s="259" t="s">
        <v>834</v>
      </c>
      <c r="E47" s="152">
        <f>'Variable Management'!B155*1000</f>
        <v>14.549381042739677</v>
      </c>
      <c r="F47" s="163" t="s">
        <v>233</v>
      </c>
      <c r="G47" s="128"/>
      <c r="H47" s="128"/>
      <c r="I47" s="83"/>
      <c r="J47" s="111"/>
      <c r="K47" s="83"/>
      <c r="L47" s="83"/>
      <c r="M47" s="83"/>
      <c r="N47" s="83"/>
      <c r="O47" s="83"/>
      <c r="P47" s="83"/>
      <c r="Q47" s="107"/>
      <c r="R47" s="500"/>
    </row>
    <row r="48" spans="1:18" ht="15.75" customHeight="1" thickBot="1" x14ac:dyDescent="0.25">
      <c r="A48" s="159"/>
      <c r="B48" s="160"/>
      <c r="C48" s="160"/>
      <c r="D48" s="265" t="s">
        <v>561</v>
      </c>
      <c r="E48" s="660">
        <f>'Variable Management'!B138</f>
        <v>3.5041982310174622</v>
      </c>
      <c r="F48" s="266" t="s">
        <v>145</v>
      </c>
      <c r="G48" s="128"/>
      <c r="H48" s="128"/>
      <c r="I48" s="83"/>
      <c r="J48" s="83"/>
      <c r="K48" s="83"/>
      <c r="L48" s="83"/>
      <c r="M48" s="83"/>
      <c r="N48" s="83"/>
      <c r="O48" s="83"/>
      <c r="P48" s="83"/>
      <c r="Q48" s="107"/>
      <c r="R48" s="500"/>
    </row>
    <row r="49" spans="1:35" ht="14.1" customHeight="1" x14ac:dyDescent="0.2">
      <c r="A49" s="127"/>
      <c r="B49" s="128"/>
      <c r="C49" s="128"/>
      <c r="D49" s="125"/>
      <c r="E49" s="128"/>
      <c r="F49" s="128"/>
      <c r="G49" s="128"/>
      <c r="H49" s="128"/>
      <c r="I49" s="83"/>
      <c r="J49" s="83"/>
      <c r="K49" s="83"/>
      <c r="L49" s="83"/>
      <c r="M49" s="83"/>
      <c r="N49" s="83"/>
      <c r="O49" s="83"/>
      <c r="P49" s="83"/>
      <c r="Q49" s="107"/>
      <c r="R49" s="500"/>
    </row>
    <row r="50" spans="1:35" ht="19.5" thickBot="1" x14ac:dyDescent="0.35">
      <c r="A50" s="184" t="s">
        <v>692</v>
      </c>
      <c r="B50" s="132"/>
      <c r="C50" s="128"/>
      <c r="D50" s="125"/>
      <c r="E50" s="128"/>
      <c r="F50" s="128"/>
      <c r="G50" s="128"/>
      <c r="H50" s="137"/>
      <c r="I50" s="113"/>
      <c r="J50" s="113"/>
      <c r="K50" s="113"/>
      <c r="L50" s="113"/>
      <c r="M50" s="113"/>
      <c r="N50" s="83"/>
      <c r="O50" s="83"/>
      <c r="P50" s="83"/>
      <c r="Q50" s="107"/>
      <c r="R50" s="500"/>
    </row>
    <row r="51" spans="1:35" ht="13.7" customHeight="1" x14ac:dyDescent="0.2">
      <c r="A51" s="267"/>
      <c r="B51" s="268"/>
      <c r="C51" s="268"/>
      <c r="D51" s="275" t="s">
        <v>284</v>
      </c>
      <c r="E51" s="276">
        <v>3</v>
      </c>
      <c r="F51" s="270" t="s">
        <v>149</v>
      </c>
      <c r="G51" s="128"/>
      <c r="H51" s="135"/>
      <c r="I51" s="113"/>
      <c r="J51" s="113"/>
      <c r="K51" s="113"/>
      <c r="L51" s="113"/>
      <c r="M51" s="113"/>
      <c r="N51" s="83"/>
      <c r="O51" s="83"/>
      <c r="P51" s="83"/>
      <c r="Q51" s="107"/>
      <c r="R51" s="500"/>
    </row>
    <row r="52" spans="1:35" ht="13.7" customHeight="1" x14ac:dyDescent="0.2">
      <c r="A52" s="258"/>
      <c r="B52" s="257"/>
      <c r="C52" s="257"/>
      <c r="D52" s="259" t="s">
        <v>283</v>
      </c>
      <c r="E52" s="277">
        <f>IF(Tss&gt;0.5/1000,Css_u*1000000000,"N/A")</f>
        <v>100</v>
      </c>
      <c r="F52" s="261" t="s">
        <v>141</v>
      </c>
      <c r="G52" s="128"/>
      <c r="H52" s="135"/>
      <c r="I52" s="113"/>
      <c r="J52" s="113"/>
      <c r="K52" s="113"/>
      <c r="L52" s="113"/>
      <c r="M52" s="113"/>
      <c r="N52" s="83"/>
      <c r="O52" s="83"/>
      <c r="P52" s="83"/>
      <c r="Q52" s="107"/>
      <c r="R52" s="500"/>
    </row>
    <row r="53" spans="1:35" ht="13.7" customHeight="1" x14ac:dyDescent="0.2">
      <c r="A53" s="258"/>
      <c r="B53" s="257"/>
      <c r="C53" s="279"/>
      <c r="D53" s="278" t="s">
        <v>698</v>
      </c>
      <c r="E53" s="272">
        <v>30</v>
      </c>
      <c r="F53" s="273" t="s">
        <v>149</v>
      </c>
      <c r="G53" s="128"/>
      <c r="H53" s="135"/>
      <c r="I53" s="113"/>
      <c r="J53" s="113"/>
      <c r="K53" s="113"/>
      <c r="L53" s="113"/>
      <c r="M53" s="113"/>
      <c r="N53" s="83"/>
      <c r="O53" s="83"/>
      <c r="P53" s="83"/>
      <c r="Q53" s="107"/>
      <c r="R53" s="500"/>
    </row>
    <row r="54" spans="1:35" ht="13.7" customHeight="1" x14ac:dyDescent="0.2">
      <c r="A54" s="258"/>
      <c r="B54" s="257"/>
      <c r="C54" s="257"/>
      <c r="D54" s="259" t="s">
        <v>684</v>
      </c>
      <c r="E54" s="277">
        <f>IF(Tres&gt;1/1000,Cres_u*1000000000,"N/A")</f>
        <v>470</v>
      </c>
      <c r="F54" s="261" t="s">
        <v>141</v>
      </c>
      <c r="G54" s="128"/>
      <c r="H54" s="135"/>
      <c r="I54" s="113"/>
      <c r="J54" s="113"/>
      <c r="K54" s="113"/>
      <c r="L54" s="113"/>
      <c r="M54" s="113"/>
      <c r="N54" s="83"/>
      <c r="O54" s="83"/>
      <c r="P54" s="83"/>
      <c r="Q54" s="107"/>
      <c r="R54" s="500"/>
    </row>
    <row r="55" spans="1:35" ht="15.75" customHeight="1" x14ac:dyDescent="0.2">
      <c r="A55" s="258"/>
      <c r="B55" s="257"/>
      <c r="C55" s="257"/>
      <c r="D55" s="278" t="s">
        <v>613</v>
      </c>
      <c r="E55" s="554">
        <v>9</v>
      </c>
      <c r="F55" s="273" t="str">
        <f>IF(DITHER=1, "kHz", "")</f>
        <v/>
      </c>
      <c r="G55" s="128"/>
      <c r="H55" s="128"/>
      <c r="I55" s="83"/>
      <c r="J55" s="81"/>
      <c r="K55" s="123"/>
      <c r="L55" s="83"/>
      <c r="M55" s="113"/>
      <c r="N55" s="83"/>
      <c r="O55" s="83"/>
      <c r="P55" s="83"/>
      <c r="Q55" s="107"/>
      <c r="R55" s="500"/>
    </row>
    <row r="56" spans="1:35" ht="13.7" customHeight="1" x14ac:dyDescent="0.2">
      <c r="A56" s="258"/>
      <c r="B56" s="257"/>
      <c r="C56" s="257"/>
      <c r="D56" s="259" t="str">
        <f>IF(DITHER=1, "DITH Capacitance, Cd", "*Tie DITH to VDDA")</f>
        <v>*Tie DITH to VDDA</v>
      </c>
      <c r="E56" s="259" t="str">
        <f>IF(DITHER=1,IF(E55&gt;0,'Standard Value Calculator'!O22*1000000000,"N/A"),"")</f>
        <v/>
      </c>
      <c r="F56" s="261" t="str">
        <f>IF(DITHER=1, "nF", "")</f>
        <v/>
      </c>
      <c r="G56" s="128"/>
      <c r="H56" s="128"/>
      <c r="I56" s="83"/>
      <c r="J56" s="81"/>
      <c r="K56" s="123"/>
      <c r="L56" s="83"/>
      <c r="M56" s="113"/>
      <c r="N56" s="83"/>
      <c r="O56" s="83"/>
      <c r="P56" s="83"/>
      <c r="Q56" s="107"/>
      <c r="R56" s="500"/>
    </row>
    <row r="57" spans="1:35" ht="15.75" customHeight="1" x14ac:dyDescent="0.2">
      <c r="A57" s="258"/>
      <c r="B57" s="257"/>
      <c r="C57" s="279"/>
      <c r="D57" s="588" t="str">
        <f>IF(DEMB=1, "* Tie DEMB to VDDA", "*Tie DEMB to AGND")</f>
        <v>*Tie DEMB to AGND</v>
      </c>
      <c r="E57" s="647"/>
      <c r="F57" s="261"/>
      <c r="G57" s="128"/>
      <c r="H57" s="128"/>
      <c r="I57" s="83"/>
      <c r="J57" s="81"/>
      <c r="K57" s="123"/>
      <c r="L57" s="83"/>
      <c r="M57" s="113"/>
      <c r="N57" s="83"/>
      <c r="O57" s="83"/>
      <c r="P57" s="83"/>
      <c r="Q57" s="107"/>
      <c r="R57" s="500"/>
    </row>
    <row r="58" spans="1:35" ht="15" customHeight="1" thickBot="1" x14ac:dyDescent="0.25">
      <c r="A58" s="282"/>
      <c r="B58" s="283"/>
      <c r="C58" s="283"/>
      <c r="D58" s="593" t="str">
        <f>IF(MODE=2, "* Tie MODE to VDDA", "* Tie MODE to AGND")</f>
        <v>* Tie MODE to AGND</v>
      </c>
      <c r="E58" s="587"/>
      <c r="F58" s="284"/>
      <c r="G58" s="128"/>
      <c r="H58" s="128"/>
      <c r="I58" s="83"/>
      <c r="J58" s="81"/>
      <c r="K58" s="123"/>
      <c r="L58" s="83"/>
      <c r="M58" s="113"/>
      <c r="N58" s="83"/>
      <c r="O58" s="83"/>
      <c r="P58" s="83"/>
      <c r="Q58" s="107"/>
      <c r="R58" s="500"/>
    </row>
    <row r="59" spans="1:35" ht="14.1" customHeight="1" x14ac:dyDescent="0.2">
      <c r="A59" s="127"/>
      <c r="B59" s="128"/>
      <c r="C59" s="128"/>
      <c r="D59" s="125"/>
      <c r="E59" s="138"/>
      <c r="F59" s="128"/>
      <c r="G59" s="128"/>
      <c r="H59" s="128"/>
      <c r="I59" s="83"/>
      <c r="J59" s="81"/>
      <c r="K59" s="123"/>
      <c r="L59" s="83"/>
      <c r="M59" s="113"/>
      <c r="N59" s="83"/>
      <c r="O59" s="83"/>
      <c r="P59" s="83"/>
      <c r="Q59" s="107"/>
      <c r="R59" s="500"/>
    </row>
    <row r="60" spans="1:35" ht="19.5" customHeight="1" thickBot="1" x14ac:dyDescent="0.25">
      <c r="A60" s="184" t="s">
        <v>235</v>
      </c>
      <c r="B60" s="140"/>
      <c r="C60" s="133"/>
      <c r="D60" s="556"/>
      <c r="E60" s="134"/>
      <c r="F60" s="133"/>
      <c r="G60" s="128"/>
      <c r="H60" s="128"/>
      <c r="I60" s="83"/>
      <c r="J60" s="83"/>
      <c r="K60" s="83"/>
      <c r="L60" s="83"/>
      <c r="M60" s="83"/>
      <c r="N60" s="83"/>
      <c r="O60" s="83"/>
      <c r="P60" s="83"/>
      <c r="Q60" s="107"/>
      <c r="R60" s="499"/>
      <c r="S60" s="54"/>
      <c r="T60" s="54"/>
      <c r="W60" s="54"/>
      <c r="X60" s="54"/>
      <c r="Y60" s="54"/>
      <c r="AB60" s="54"/>
      <c r="AC60" s="54"/>
      <c r="AD60" s="54"/>
      <c r="AG60" s="54"/>
      <c r="AH60" s="54"/>
      <c r="AI60" s="54"/>
    </row>
    <row r="61" spans="1:35" ht="15" customHeight="1" x14ac:dyDescent="0.2">
      <c r="A61" s="267"/>
      <c r="B61" s="268"/>
      <c r="C61" s="269"/>
      <c r="D61" s="269" t="str">
        <f>IF(MODE=1, "Ch1 Load Pole Frequency", "Load Pole Frequency")</f>
        <v>Ch1 Load Pole Frequency</v>
      </c>
      <c r="E61" s="368">
        <f>Fp_dominant</f>
        <v>53012.815686534734</v>
      </c>
      <c r="F61" s="285" t="s">
        <v>9</v>
      </c>
      <c r="G61" s="585"/>
      <c r="H61" s="175"/>
      <c r="I61" s="269" t="s">
        <v>704</v>
      </c>
      <c r="J61" s="368">
        <f>Fp_dominant_Ch2</f>
        <v>62178.710970407672</v>
      </c>
      <c r="K61" s="285" t="s">
        <v>9</v>
      </c>
      <c r="L61" s="83"/>
      <c r="M61" s="83"/>
      <c r="N61" s="83"/>
      <c r="O61" s="83"/>
      <c r="P61" s="83"/>
      <c r="Q61" s="107"/>
      <c r="R61" s="499"/>
      <c r="S61" s="54"/>
      <c r="T61" s="54"/>
      <c r="W61" s="54"/>
      <c r="X61" s="54"/>
      <c r="Y61" s="54"/>
      <c r="AB61" s="54"/>
      <c r="AC61" s="54"/>
      <c r="AD61" s="54"/>
      <c r="AG61" s="54"/>
      <c r="AH61" s="54"/>
      <c r="AI61" s="54"/>
    </row>
    <row r="62" spans="1:35" ht="15" customHeight="1" x14ac:dyDescent="0.2">
      <c r="A62" s="258"/>
      <c r="B62" s="257"/>
      <c r="C62" s="259"/>
      <c r="D62" s="259" t="str">
        <f>IF(MODE=1, "Ch1 ESR Zero Frequency", "ESR Zero Frequency")</f>
        <v>Ch1 ESR Zero Frequency</v>
      </c>
      <c r="E62" s="262">
        <f>Fesr/1000</f>
        <v>16931.376944016636</v>
      </c>
      <c r="F62" s="261" t="s">
        <v>2</v>
      </c>
      <c r="G62" s="128"/>
      <c r="H62" s="128"/>
      <c r="I62" s="259" t="s">
        <v>707</v>
      </c>
      <c r="J62" s="262">
        <f>Fesr_Ch2/1000</f>
        <v>16931.376944016636</v>
      </c>
      <c r="K62" s="261" t="s">
        <v>2</v>
      </c>
      <c r="L62" s="83"/>
      <c r="M62" s="83"/>
      <c r="N62" s="83"/>
      <c r="O62" s="83"/>
      <c r="P62" s="83"/>
      <c r="Q62" s="107"/>
      <c r="R62" s="499"/>
      <c r="S62" s="54"/>
      <c r="T62" s="54"/>
      <c r="W62" s="54"/>
      <c r="X62" s="54"/>
      <c r="Y62" s="54"/>
      <c r="AB62" s="54"/>
      <c r="AC62" s="54"/>
      <c r="AD62" s="54"/>
      <c r="AG62" s="54"/>
      <c r="AH62" s="54"/>
      <c r="AI62" s="54"/>
    </row>
    <row r="63" spans="1:35" ht="15" customHeight="1" x14ac:dyDescent="0.2">
      <c r="A63" s="258"/>
      <c r="B63" s="257"/>
      <c r="C63" s="259"/>
      <c r="D63" s="280" t="str">
        <f>IF(MODE=1, "Ch1 Desired Crossover Frequency", "Desired Crossover Frequency")</f>
        <v>Ch1 Desired Crossover Frequency</v>
      </c>
      <c r="E63" s="286">
        <v>60</v>
      </c>
      <c r="F63" s="287" t="str">
        <f>"     kHz "</f>
        <v xml:space="preserve">     kHz </v>
      </c>
      <c r="G63" s="128"/>
      <c r="H63" s="128"/>
      <c r="I63" s="280" t="s">
        <v>706</v>
      </c>
      <c r="J63" s="286">
        <v>60</v>
      </c>
      <c r="K63" s="287" t="str">
        <f>"     kHz "</f>
        <v xml:space="preserve">     kHz </v>
      </c>
      <c r="L63" s="83"/>
      <c r="M63" s="83"/>
      <c r="N63" s="83"/>
      <c r="O63" s="83"/>
      <c r="P63" s="83"/>
      <c r="Q63" s="107"/>
      <c r="R63" s="499"/>
      <c r="S63" s="54"/>
      <c r="T63" s="54"/>
      <c r="W63" s="54"/>
      <c r="X63" s="54"/>
      <c r="Y63" s="54"/>
      <c r="AB63" s="54"/>
      <c r="AC63" s="54"/>
      <c r="AD63" s="54"/>
      <c r="AG63" s="54"/>
      <c r="AH63" s="54"/>
      <c r="AI63" s="54"/>
    </row>
    <row r="64" spans="1:35" ht="15" customHeight="1" x14ac:dyDescent="0.2">
      <c r="A64" s="258"/>
      <c r="B64" s="257"/>
      <c r="C64" s="259"/>
      <c r="D64" s="259" t="str">
        <f>IF(MODE=1, "Ch1 Error Amp Pole Frequency", "Error Amp Pole Frequency")</f>
        <v>Ch1 Error Amp Pole Frequency</v>
      </c>
      <c r="E64" s="260">
        <f>Fp1_u</f>
        <v>9.2102150577479364E-2</v>
      </c>
      <c r="F64" s="261" t="s">
        <v>9</v>
      </c>
      <c r="G64" s="128"/>
      <c r="H64" s="128"/>
      <c r="I64" s="259" t="s">
        <v>705</v>
      </c>
      <c r="J64" s="260">
        <f>Fp1_u_Ch2</f>
        <v>0.13815215952049953</v>
      </c>
      <c r="K64" s="261" t="s">
        <v>9</v>
      </c>
      <c r="L64" s="83"/>
      <c r="M64" s="83"/>
      <c r="N64" s="83"/>
      <c r="O64" s="83"/>
      <c r="P64" s="83"/>
      <c r="Q64" s="107"/>
      <c r="R64" s="499"/>
      <c r="S64" s="54"/>
      <c r="T64" s="54"/>
      <c r="W64" s="54"/>
      <c r="X64" s="54"/>
      <c r="Y64" s="54"/>
      <c r="AB64" s="54"/>
      <c r="AC64" s="54"/>
      <c r="AD64" s="54"/>
      <c r="AG64" s="54"/>
      <c r="AH64" s="54"/>
      <c r="AI64" s="54"/>
    </row>
    <row r="65" spans="1:35" ht="15" customHeight="1" x14ac:dyDescent="0.2">
      <c r="A65" s="258"/>
      <c r="B65" s="257"/>
      <c r="C65" s="259"/>
      <c r="D65" s="280" t="str">
        <f>CHOOSE(Ch1_VOUT, "* Tie FB1 to VDDA for Ch1 3.3V Out", "* Tie FB1 to AGND for Ch1 5V Out", IF(MODE=1, "Ch1 Upper Feedback Resistor", "Upper Feedback Resistor"))</f>
        <v>* Tie FB1 to VDDA for Ch1 3.3V Out</v>
      </c>
      <c r="E65" s="288">
        <v>10</v>
      </c>
      <c r="F65" s="273" t="s">
        <v>50</v>
      </c>
      <c r="G65" s="128"/>
      <c r="H65" s="128"/>
      <c r="I65" s="280" t="str">
        <f>CHOOSE(Ch2_VOUT, "* Tie FB2 to VDDA for Ch2 3.3V Out", "* Tie FB2 to AGND for Ch2 5V Out", "Ch2 Upper Feedback Resistor")</f>
        <v>* Tie FB2 to AGND for Ch2 5V Out</v>
      </c>
      <c r="J65" s="288">
        <v>10</v>
      </c>
      <c r="K65" s="273" t="s">
        <v>50</v>
      </c>
      <c r="L65" s="83"/>
      <c r="M65" s="83"/>
      <c r="N65" s="83"/>
      <c r="O65" s="83"/>
      <c r="P65" s="83"/>
      <c r="Q65" s="107"/>
      <c r="R65" s="499"/>
      <c r="S65" s="54"/>
      <c r="T65" s="54"/>
      <c r="W65" s="54"/>
      <c r="X65" s="54"/>
      <c r="Y65" s="54"/>
      <c r="AB65" s="54"/>
      <c r="AC65" s="54"/>
      <c r="AD65" s="54"/>
      <c r="AG65" s="54"/>
      <c r="AH65" s="54"/>
      <c r="AI65" s="54"/>
    </row>
    <row r="66" spans="1:35" ht="17.25" customHeight="1" thickBot="1" x14ac:dyDescent="0.25">
      <c r="A66" s="263"/>
      <c r="B66" s="264"/>
      <c r="C66" s="265"/>
      <c r="D66" s="281" t="str">
        <f>IF(Ch1_VOUT=3, IF(MODE=1,"Ch1 Lower Feedback Resistor","Lower Feedback Resistor"),"")</f>
        <v/>
      </c>
      <c r="E66" s="265">
        <f>IF(Vout=Vref,"OPEN",Rfb2_u/1000)</f>
        <v>2.21</v>
      </c>
      <c r="F66" s="266" t="str">
        <f>IF(Vout=Vref,"","kΩ")</f>
        <v>kΩ</v>
      </c>
      <c r="G66" s="195"/>
      <c r="H66" s="176"/>
      <c r="I66" s="281" t="str">
        <f>IF(Ch2_VOUT=3, "Ch2 Lower Feedback Resistor","")</f>
        <v/>
      </c>
      <c r="J66" s="265">
        <f>IF(Vout2=Vref,"OPEN",Rfb4_u/1000)</f>
        <v>1.37</v>
      </c>
      <c r="K66" s="266" t="str">
        <f>IF(Vout=Vref,"","kΩ")</f>
        <v>kΩ</v>
      </c>
      <c r="L66" s="83"/>
      <c r="M66" s="83"/>
      <c r="N66" s="83"/>
      <c r="O66" s="83"/>
      <c r="P66" s="83"/>
      <c r="Q66" s="107"/>
      <c r="R66" s="499"/>
      <c r="S66" s="54"/>
      <c r="T66" s="54"/>
      <c r="W66" s="54"/>
      <c r="X66" s="54"/>
      <c r="Y66" s="54"/>
      <c r="AB66" s="54"/>
      <c r="AC66" s="54"/>
      <c r="AD66" s="54"/>
      <c r="AG66" s="54"/>
      <c r="AH66" s="54"/>
      <c r="AI66" s="54"/>
    </row>
    <row r="67" spans="1:35" ht="13.5" customHeight="1" x14ac:dyDescent="0.2">
      <c r="A67" s="187"/>
      <c r="B67" s="549"/>
      <c r="C67" s="146"/>
      <c r="D67" s="135"/>
      <c r="E67" s="135"/>
      <c r="F67" s="135"/>
      <c r="G67" s="145"/>
      <c r="H67" s="144"/>
      <c r="I67" s="83"/>
      <c r="J67" s="83"/>
      <c r="K67" s="83"/>
      <c r="L67" s="83"/>
      <c r="M67" s="83"/>
      <c r="N67" s="83"/>
      <c r="O67" s="83"/>
      <c r="P67" s="83"/>
      <c r="Q67" s="107"/>
      <c r="R67" s="499"/>
      <c r="S67" s="54"/>
      <c r="T67" s="54"/>
      <c r="W67" s="54"/>
      <c r="X67" s="54"/>
      <c r="Y67" s="54"/>
      <c r="AB67" s="54"/>
      <c r="AC67" s="54"/>
      <c r="AD67" s="54"/>
      <c r="AG67" s="54"/>
      <c r="AH67" s="54"/>
      <c r="AI67" s="54"/>
    </row>
    <row r="68" spans="1:35" ht="15.75" customHeight="1" x14ac:dyDescent="0.25">
      <c r="A68" s="475" t="s">
        <v>228</v>
      </c>
      <c r="B68" s="147"/>
      <c r="C68" s="125"/>
      <c r="D68" s="141"/>
      <c r="E68" s="142"/>
      <c r="F68" s="143"/>
      <c r="G68" s="148"/>
      <c r="H68" s="128"/>
      <c r="I68" s="83"/>
      <c r="J68" s="83"/>
      <c r="K68" s="83"/>
      <c r="L68" s="83"/>
      <c r="M68" s="83"/>
      <c r="N68" s="83"/>
      <c r="O68" s="83"/>
      <c r="P68" s="83"/>
      <c r="Q68" s="107"/>
      <c r="R68" s="499"/>
      <c r="S68" s="190"/>
      <c r="T68" s="190"/>
      <c r="U68" s="191"/>
      <c r="V68" s="191"/>
      <c r="W68" s="190"/>
      <c r="X68" s="190"/>
      <c r="Y68" s="190"/>
      <c r="Z68" s="191"/>
      <c r="AA68" s="191"/>
      <c r="AB68" s="190"/>
      <c r="AC68" s="190"/>
      <c r="AD68" s="190"/>
      <c r="AE68" s="191"/>
      <c r="AF68" s="191"/>
      <c r="AG68" s="54"/>
      <c r="AH68" s="54"/>
      <c r="AI68" s="54"/>
    </row>
    <row r="69" spans="1:35" s="203" customFormat="1" ht="13.5" customHeight="1" thickBot="1" x14ac:dyDescent="0.25">
      <c r="A69" s="208"/>
      <c r="B69" s="209" t="s">
        <v>236</v>
      </c>
      <c r="C69" s="210" t="s">
        <v>227</v>
      </c>
      <c r="D69" s="612" t="str">
        <f t="shared" ref="D69" si="0">C69</f>
        <v>Std Values</v>
      </c>
      <c r="E69" s="556"/>
      <c r="F69" s="667" t="s">
        <v>229</v>
      </c>
      <c r="G69" s="667"/>
      <c r="H69" s="667"/>
      <c r="I69" s="198"/>
      <c r="J69" s="198"/>
      <c r="K69" s="198"/>
      <c r="L69" s="198"/>
      <c r="M69" s="198"/>
      <c r="N69" s="198"/>
      <c r="O69" s="198"/>
      <c r="P69" s="198"/>
      <c r="Q69" s="199"/>
      <c r="R69" s="501"/>
      <c r="S69" s="200"/>
      <c r="T69" s="200"/>
      <c r="U69" s="201"/>
      <c r="V69" s="201"/>
      <c r="W69" s="200"/>
      <c r="X69" s="200"/>
      <c r="Y69" s="200"/>
      <c r="Z69" s="201"/>
      <c r="AA69" s="201"/>
      <c r="AB69" s="200"/>
      <c r="AC69" s="200"/>
      <c r="AD69" s="200"/>
      <c r="AE69" s="201"/>
      <c r="AF69" s="201"/>
      <c r="AG69" s="202"/>
      <c r="AH69" s="202"/>
      <c r="AI69" s="202"/>
    </row>
    <row r="70" spans="1:35" ht="15.75" x14ac:dyDescent="0.3">
      <c r="A70" s="171" t="s">
        <v>708</v>
      </c>
      <c r="B70" s="182">
        <f>Rcea1/1000</f>
        <v>0.97452204003000009</v>
      </c>
      <c r="C70" s="167">
        <f>'Standard Value Calculator'!O30</f>
        <v>0.97599999999999998</v>
      </c>
      <c r="D70" s="168">
        <v>0.97599999999999998</v>
      </c>
      <c r="E70" s="169" t="s">
        <v>50</v>
      </c>
      <c r="F70" s="519">
        <f>Fp1_u</f>
        <v>9.2102150577479364E-2</v>
      </c>
      <c r="G70" s="431" t="s">
        <v>720</v>
      </c>
      <c r="H70" s="135"/>
      <c r="I70" s="125"/>
      <c r="J70" s="494"/>
      <c r="K70" s="128"/>
      <c r="L70" s="83"/>
      <c r="M70" s="83"/>
      <c r="N70" s="83"/>
      <c r="O70" s="83"/>
      <c r="P70" s="83"/>
      <c r="Q70" s="107"/>
      <c r="R70" s="499"/>
      <c r="S70" s="190"/>
      <c r="T70" s="190"/>
      <c r="U70" s="191"/>
      <c r="V70" s="191"/>
      <c r="W70" s="190"/>
      <c r="X70" s="190"/>
      <c r="Y70" s="190"/>
      <c r="Z70" s="191"/>
      <c r="AA70" s="191"/>
      <c r="AB70" s="190"/>
      <c r="AC70" s="190"/>
      <c r="AD70" s="190"/>
      <c r="AE70" s="191"/>
      <c r="AF70" s="191"/>
      <c r="AG70" s="54"/>
      <c r="AH70" s="54"/>
      <c r="AI70" s="54"/>
    </row>
    <row r="71" spans="1:35" ht="15.75" x14ac:dyDescent="0.3">
      <c r="A71" s="172" t="s">
        <v>231</v>
      </c>
      <c r="B71" s="484">
        <f>Cc1ea*1000000000</f>
        <v>27.219316536076303</v>
      </c>
      <c r="C71" s="144">
        <f>'Standard Value Calculator'!O31</f>
        <v>27</v>
      </c>
      <c r="D71" s="149">
        <v>27</v>
      </c>
      <c r="E71" s="170" t="s">
        <v>141</v>
      </c>
      <c r="F71" s="432">
        <f>Fz1_u/1000</f>
        <v>6.039577385919717</v>
      </c>
      <c r="G71" s="433" t="s">
        <v>511</v>
      </c>
      <c r="H71" s="135"/>
      <c r="I71" s="125"/>
      <c r="J71" s="494"/>
      <c r="K71" s="128"/>
      <c r="L71" s="83"/>
      <c r="M71" s="83"/>
      <c r="N71" s="83"/>
      <c r="O71" s="83"/>
      <c r="P71" s="83"/>
      <c r="Q71" s="107"/>
      <c r="R71" s="499"/>
      <c r="S71" s="190"/>
      <c r="T71" s="190"/>
      <c r="U71" s="191"/>
      <c r="V71" s="191"/>
      <c r="W71" s="190"/>
      <c r="X71" s="190"/>
      <c r="Y71" s="190"/>
      <c r="Z71" s="191"/>
      <c r="AA71" s="191"/>
      <c r="AB71" s="190"/>
      <c r="AC71" s="190"/>
      <c r="AD71" s="190"/>
      <c r="AE71" s="191"/>
      <c r="AF71" s="191"/>
      <c r="AG71" s="54"/>
      <c r="AH71" s="54"/>
      <c r="AI71" s="54"/>
    </row>
    <row r="72" spans="1:35" ht="16.5" thickBot="1" x14ac:dyDescent="0.35">
      <c r="A72" s="369" t="s">
        <v>232</v>
      </c>
      <c r="B72" s="183">
        <f>IF(Cc2ea&lt;0, "N/A", Cc2ea*1000000000000)</f>
        <v>149.17275390377148</v>
      </c>
      <c r="C72" s="179">
        <f>'Standard Value Calculator'!O32</f>
        <v>150</v>
      </c>
      <c r="D72" s="180">
        <v>150</v>
      </c>
      <c r="E72" s="181" t="s">
        <v>30</v>
      </c>
      <c r="F72" s="436">
        <f>Fp2_u/1000</f>
        <v>1042.8634307551206</v>
      </c>
      <c r="G72" s="434" t="s">
        <v>512</v>
      </c>
      <c r="H72" s="135"/>
      <c r="I72" s="83"/>
      <c r="J72" s="83"/>
      <c r="K72" s="83"/>
      <c r="L72" s="83"/>
      <c r="M72" s="83"/>
      <c r="N72" s="83"/>
      <c r="O72" s="83"/>
      <c r="P72" s="83"/>
      <c r="Q72" s="107"/>
      <c r="R72" s="499"/>
      <c r="S72" s="190"/>
      <c r="T72" s="190"/>
      <c r="U72" s="191"/>
      <c r="V72" s="191"/>
      <c r="W72" s="190"/>
      <c r="X72" s="190"/>
      <c r="Y72" s="190"/>
      <c r="Z72" s="191"/>
      <c r="AA72" s="191"/>
      <c r="AB72" s="190"/>
      <c r="AC72" s="190"/>
      <c r="AD72" s="190"/>
      <c r="AE72" s="191"/>
      <c r="AF72" s="191"/>
      <c r="AG72" s="54"/>
      <c r="AH72" s="54"/>
      <c r="AI72" s="54"/>
    </row>
    <row r="73" spans="1:35" ht="15.75" x14ac:dyDescent="0.3">
      <c r="A73" s="171" t="s">
        <v>709</v>
      </c>
      <c r="B73" s="182">
        <f>Rcea2/1000</f>
        <v>1.4765485455</v>
      </c>
      <c r="C73" s="144">
        <f>'Standard Value Calculator'!O34</f>
        <v>1.47</v>
      </c>
      <c r="D73" s="149">
        <v>1.47</v>
      </c>
      <c r="E73" s="169" t="s">
        <v>50</v>
      </c>
      <c r="F73" s="519">
        <f>Fp1_u_Ch2</f>
        <v>0.13815215952049953</v>
      </c>
      <c r="G73" s="431" t="s">
        <v>719</v>
      </c>
      <c r="H73" s="135"/>
      <c r="I73" s="83"/>
      <c r="J73" s="83"/>
      <c r="K73" s="83"/>
      <c r="L73" s="83"/>
      <c r="M73" s="83"/>
      <c r="N73" s="83"/>
      <c r="O73" s="83"/>
      <c r="P73" s="83"/>
      <c r="Q73" s="107"/>
      <c r="R73" s="499"/>
      <c r="S73" s="190"/>
      <c r="T73" s="190"/>
      <c r="U73" s="191"/>
      <c r="V73" s="191"/>
      <c r="W73" s="190"/>
      <c r="X73" s="190"/>
      <c r="Y73" s="190"/>
      <c r="Z73" s="191"/>
      <c r="AA73" s="191"/>
      <c r="AB73" s="190"/>
      <c r="AC73" s="190"/>
      <c r="AD73" s="190"/>
      <c r="AE73" s="191"/>
      <c r="AF73" s="191"/>
      <c r="AG73" s="54"/>
      <c r="AH73" s="54"/>
      <c r="AI73" s="54"/>
    </row>
    <row r="74" spans="1:35" ht="15.75" x14ac:dyDescent="0.3">
      <c r="A74" s="172" t="s">
        <v>710</v>
      </c>
      <c r="B74" s="484">
        <f>Cc3ea*1000000000</f>
        <v>17.964748913810364</v>
      </c>
      <c r="C74" s="144">
        <f>'Standard Value Calculator'!O35</f>
        <v>18</v>
      </c>
      <c r="D74" s="149">
        <v>18</v>
      </c>
      <c r="E74" s="170" t="s">
        <v>141</v>
      </c>
      <c r="F74" s="432">
        <f>Fz1_u_Ch2/1000</f>
        <v>6.014926049650656</v>
      </c>
      <c r="G74" s="433" t="s">
        <v>717</v>
      </c>
      <c r="H74" s="135"/>
      <c r="I74" s="83"/>
      <c r="J74" s="83"/>
      <c r="K74" s="83"/>
      <c r="L74" s="83"/>
      <c r="M74" s="83"/>
      <c r="N74" s="83"/>
      <c r="O74" s="83"/>
      <c r="P74" s="83"/>
      <c r="Q74" s="107"/>
      <c r="R74" s="499"/>
      <c r="S74" s="190"/>
      <c r="T74" s="190"/>
      <c r="U74" s="191"/>
      <c r="V74" s="191"/>
      <c r="W74" s="190"/>
      <c r="X74" s="190"/>
      <c r="Y74" s="190"/>
      <c r="Z74" s="191"/>
      <c r="AA74" s="191"/>
      <c r="AB74" s="190"/>
      <c r="AC74" s="190"/>
      <c r="AD74" s="190"/>
      <c r="AE74" s="191"/>
      <c r="AF74" s="191"/>
      <c r="AG74" s="54"/>
      <c r="AH74" s="54"/>
      <c r="AI74" s="54"/>
    </row>
    <row r="75" spans="1:35" ht="16.5" thickBot="1" x14ac:dyDescent="0.35">
      <c r="A75" s="369" t="s">
        <v>711</v>
      </c>
      <c r="B75" s="183">
        <f>IF(Cc4ea&lt;0, "N/A", Cc4ea*1000000000000)</f>
        <v>96.2895103479661</v>
      </c>
      <c r="C75" s="179">
        <f>IF(1, 'Standard Value Calculator'!O36)</f>
        <v>100</v>
      </c>
      <c r="D75" s="180">
        <v>100</v>
      </c>
      <c r="E75" s="181" t="s">
        <v>30</v>
      </c>
      <c r="F75" s="436">
        <f>Fp2_u_Ch2/1000</f>
        <v>1017.8860502993048</v>
      </c>
      <c r="G75" s="434" t="s">
        <v>718</v>
      </c>
      <c r="H75" s="135"/>
      <c r="I75" s="83"/>
      <c r="J75" s="83"/>
      <c r="K75" s="83"/>
      <c r="L75" s="83"/>
      <c r="M75" s="83"/>
      <c r="N75" s="124" t="s">
        <v>750</v>
      </c>
      <c r="O75" s="129">
        <v>0.3</v>
      </c>
      <c r="P75" s="133" t="s">
        <v>116</v>
      </c>
      <c r="Q75" s="107"/>
      <c r="R75" s="499"/>
      <c r="S75" s="190"/>
      <c r="T75" s="190"/>
      <c r="U75" s="191"/>
      <c r="V75" s="191"/>
      <c r="W75" s="190"/>
      <c r="X75" s="190"/>
      <c r="Y75" s="190"/>
      <c r="Z75" s="191"/>
      <c r="AA75" s="191"/>
      <c r="AB75" s="190"/>
      <c r="AC75" s="190"/>
      <c r="AD75" s="190"/>
      <c r="AE75" s="191"/>
      <c r="AF75" s="191"/>
      <c r="AG75" s="54"/>
      <c r="AH75" s="54"/>
      <c r="AI75" s="54"/>
    </row>
    <row r="76" spans="1:35" ht="13.5" thickBot="1" x14ac:dyDescent="0.25">
      <c r="A76" s="127"/>
      <c r="B76" s="125"/>
      <c r="C76" s="125"/>
      <c r="D76" s="128"/>
      <c r="E76" s="128"/>
      <c r="F76" s="128"/>
      <c r="G76" s="128"/>
      <c r="H76" s="128"/>
      <c r="I76" s="83"/>
      <c r="J76" s="83"/>
      <c r="K76" s="83"/>
      <c r="L76" s="83"/>
      <c r="M76" s="83"/>
      <c r="N76" s="83"/>
      <c r="O76" s="83"/>
      <c r="P76" s="83"/>
      <c r="Q76" s="107"/>
      <c r="R76" s="499"/>
      <c r="S76" s="190"/>
      <c r="T76" s="190"/>
      <c r="U76" s="191"/>
      <c r="V76" s="191"/>
      <c r="W76" s="190"/>
      <c r="X76" s="190"/>
      <c r="Y76" s="190"/>
      <c r="Z76" s="191"/>
      <c r="AA76" s="191"/>
      <c r="AB76" s="190"/>
      <c r="AC76" s="190"/>
      <c r="AD76" s="190"/>
      <c r="AE76" s="191"/>
      <c r="AF76" s="191"/>
      <c r="AG76" s="54"/>
      <c r="AH76" s="54"/>
      <c r="AI76" s="54"/>
    </row>
    <row r="77" spans="1:35" s="86" customFormat="1" ht="18.75" thickBot="1" x14ac:dyDescent="0.3">
      <c r="A77" s="188" t="s">
        <v>234</v>
      </c>
      <c r="B77" s="139"/>
      <c r="C77" s="150"/>
      <c r="D77" s="150"/>
      <c r="E77" s="150"/>
      <c r="F77" s="150"/>
      <c r="G77" s="150"/>
      <c r="H77" s="150"/>
      <c r="I77" s="84"/>
      <c r="J77" s="84"/>
      <c r="K77" s="84"/>
      <c r="L77" s="84"/>
      <c r="M77" s="84"/>
      <c r="N77" s="84"/>
      <c r="O77" s="84"/>
      <c r="P77" s="84"/>
      <c r="Q77" s="85"/>
      <c r="R77" s="502"/>
      <c r="S77" s="192"/>
      <c r="T77" s="192"/>
      <c r="U77" s="193"/>
      <c r="V77" s="193"/>
      <c r="W77" s="192"/>
      <c r="X77" s="192"/>
      <c r="Y77" s="192"/>
      <c r="Z77" s="193"/>
      <c r="AA77" s="193"/>
      <c r="AB77" s="192"/>
      <c r="AC77" s="192"/>
      <c r="AD77" s="192"/>
      <c r="AE77" s="193"/>
      <c r="AF77" s="193"/>
      <c r="AG77" s="55"/>
      <c r="AH77" s="55"/>
      <c r="AI77" s="55"/>
    </row>
    <row r="78" spans="1:35" x14ac:dyDescent="0.2">
      <c r="A78" s="186"/>
      <c r="B78" s="135"/>
      <c r="C78" s="128"/>
      <c r="D78" s="128"/>
      <c r="E78" s="128"/>
      <c r="F78" s="128"/>
      <c r="G78" s="128"/>
      <c r="H78" s="128"/>
      <c r="I78" s="83"/>
      <c r="J78" s="83"/>
      <c r="K78" s="83"/>
      <c r="L78" s="83"/>
      <c r="M78" s="83"/>
      <c r="N78" s="83"/>
      <c r="O78" s="83"/>
      <c r="P78" s="83"/>
      <c r="Q78" s="107"/>
      <c r="R78" s="499"/>
      <c r="S78" s="190"/>
      <c r="T78" s="190"/>
      <c r="U78" s="191"/>
      <c r="V78" s="191"/>
      <c r="W78" s="190"/>
      <c r="X78" s="190"/>
      <c r="Y78" s="190"/>
      <c r="Z78" s="191"/>
      <c r="AA78" s="191"/>
      <c r="AB78" s="190"/>
      <c r="AC78" s="190"/>
      <c r="AD78" s="190"/>
      <c r="AE78" s="191"/>
      <c r="AF78" s="191"/>
      <c r="AG78" s="54"/>
      <c r="AH78" s="54"/>
      <c r="AI78" s="54"/>
    </row>
    <row r="79" spans="1:35" ht="19.5" thickBot="1" x14ac:dyDescent="0.35">
      <c r="A79" s="151" t="s">
        <v>193</v>
      </c>
      <c r="B79" s="132"/>
      <c r="C79" s="128"/>
      <c r="D79" s="128"/>
      <c r="E79" s="128"/>
      <c r="F79" s="128"/>
      <c r="G79" s="128"/>
      <c r="H79" s="128"/>
      <c r="I79" s="83"/>
      <c r="J79" s="83"/>
      <c r="K79" s="83"/>
      <c r="L79" s="83"/>
      <c r="M79" s="83"/>
      <c r="N79" s="83"/>
      <c r="O79" s="83"/>
      <c r="P79" s="83"/>
      <c r="Q79" s="107"/>
      <c r="R79" s="499"/>
      <c r="S79" s="190"/>
      <c r="T79" s="190"/>
      <c r="U79" s="191"/>
      <c r="V79" s="191"/>
      <c r="W79" s="190"/>
      <c r="X79" s="190"/>
      <c r="Y79" s="190"/>
      <c r="Z79" s="191"/>
      <c r="AA79" s="191"/>
      <c r="AB79" s="190"/>
      <c r="AC79" s="190"/>
      <c r="AD79" s="190"/>
      <c r="AE79" s="191"/>
      <c r="AF79" s="191"/>
      <c r="AG79" s="54"/>
      <c r="AH79" s="54"/>
      <c r="AI79" s="54"/>
    </row>
    <row r="80" spans="1:35" ht="18" customHeight="1" x14ac:dyDescent="0.25">
      <c r="A80" s="173"/>
      <c r="B80" s="174"/>
      <c r="C80" s="561"/>
      <c r="D80" s="561"/>
      <c r="E80" s="561"/>
      <c r="F80" s="204" t="str">
        <f>IF(MODE=1, "Ch1 Power MOSFETs", "Power MOSFETs")</f>
        <v>Ch1 Power MOSFETs</v>
      </c>
      <c r="G80" s="636" t="s">
        <v>778</v>
      </c>
      <c r="H80" s="561"/>
      <c r="I80" s="204" t="str">
        <f>IF(MODE=1, "Ch2 Power MOSFETs ", "Power MOSFETs ")</f>
        <v xml:space="preserve">Ch2 Power MOSFETs </v>
      </c>
      <c r="J80" s="637" t="s">
        <v>779</v>
      </c>
      <c r="K80" s="83"/>
      <c r="L80" s="83"/>
      <c r="M80" s="83"/>
      <c r="N80" s="83"/>
      <c r="O80" s="83"/>
      <c r="P80" s="83"/>
      <c r="Q80" s="107"/>
      <c r="R80" s="499"/>
      <c r="S80" s="190"/>
      <c r="T80" s="121"/>
      <c r="U80" s="121"/>
      <c r="V80" s="191"/>
      <c r="W80" s="190"/>
      <c r="X80" s="190"/>
      <c r="Y80" s="190"/>
      <c r="Z80" s="191"/>
      <c r="AA80" s="191"/>
      <c r="AB80" s="190"/>
      <c r="AC80" s="190"/>
      <c r="AD80" s="190"/>
      <c r="AE80" s="191"/>
      <c r="AF80" s="191"/>
      <c r="AG80" s="54"/>
      <c r="AH80" s="54"/>
      <c r="AI80" s="54"/>
    </row>
    <row r="81" spans="1:35" ht="14.25" customHeight="1" x14ac:dyDescent="0.2">
      <c r="A81" s="632"/>
      <c r="B81" s="133"/>
      <c r="C81" s="633"/>
      <c r="D81" s="634"/>
      <c r="E81" s="635" t="s">
        <v>862</v>
      </c>
      <c r="F81" s="128"/>
      <c r="G81" s="163"/>
      <c r="H81" s="665" t="s">
        <v>862</v>
      </c>
      <c r="I81" s="666"/>
      <c r="J81" s="163"/>
      <c r="K81" s="83"/>
      <c r="L81" s="83"/>
      <c r="M81" s="83"/>
      <c r="N81" s="83"/>
      <c r="O81" s="83"/>
      <c r="P81" s="83"/>
      <c r="Q81" s="107"/>
      <c r="R81" s="499"/>
      <c r="S81" s="190"/>
      <c r="T81" s="121"/>
      <c r="U81" s="121"/>
      <c r="V81" s="191"/>
      <c r="W81" s="190"/>
      <c r="X81" s="190"/>
      <c r="Y81" s="190"/>
      <c r="Z81" s="191"/>
      <c r="AA81" s="191"/>
      <c r="AB81" s="190"/>
      <c r="AC81" s="190"/>
      <c r="AD81" s="190"/>
      <c r="AE81" s="191"/>
      <c r="AF81" s="191"/>
      <c r="AG81" s="54"/>
      <c r="AH81" s="54"/>
      <c r="AI81" s="54"/>
    </row>
    <row r="82" spans="1:35" ht="14.45" customHeight="1" x14ac:dyDescent="0.2">
      <c r="A82" s="482"/>
      <c r="B82" s="113"/>
      <c r="C82" s="113"/>
      <c r="D82" s="113"/>
      <c r="E82" s="483" t="s">
        <v>754</v>
      </c>
      <c r="F82" s="671" t="s">
        <v>547</v>
      </c>
      <c r="G82" s="672"/>
      <c r="H82" s="491" t="s">
        <v>754</v>
      </c>
      <c r="I82" s="490" t="s">
        <v>547</v>
      </c>
      <c r="J82" s="261"/>
      <c r="K82" s="83"/>
      <c r="L82" s="83"/>
      <c r="M82" s="83"/>
      <c r="N82" s="83"/>
      <c r="O82" s="83"/>
      <c r="P82" s="83"/>
      <c r="Q82" s="107"/>
      <c r="R82" s="499"/>
      <c r="S82" s="190"/>
      <c r="T82" s="121"/>
      <c r="U82" s="121"/>
      <c r="V82" s="191"/>
      <c r="W82" s="190"/>
      <c r="X82" s="190"/>
      <c r="Y82" s="190"/>
      <c r="Z82" s="191"/>
      <c r="AA82" s="191"/>
      <c r="AB82" s="190"/>
      <c r="AC82" s="190"/>
      <c r="AD82" s="190"/>
      <c r="AE82" s="191"/>
      <c r="AF82" s="191"/>
      <c r="AG82" s="54"/>
      <c r="AH82" s="54"/>
      <c r="AI82" s="54"/>
    </row>
    <row r="83" spans="1:35" ht="14.45" customHeight="1" x14ac:dyDescent="0.25">
      <c r="A83" s="127"/>
      <c r="B83" s="128"/>
      <c r="C83" s="133"/>
      <c r="D83" s="124" t="s">
        <v>272</v>
      </c>
      <c r="E83" s="254">
        <v>6</v>
      </c>
      <c r="F83" s="254">
        <v>2.5</v>
      </c>
      <c r="G83" s="163" t="s">
        <v>49</v>
      </c>
      <c r="H83" s="129">
        <v>6</v>
      </c>
      <c r="I83" s="129">
        <v>2.5</v>
      </c>
      <c r="J83" s="163" t="s">
        <v>49</v>
      </c>
      <c r="K83" s="83"/>
      <c r="L83" s="83"/>
      <c r="M83" s="83"/>
      <c r="N83" s="83"/>
      <c r="O83" s="83"/>
      <c r="P83" s="83"/>
      <c r="Q83" s="107"/>
      <c r="R83" s="499"/>
      <c r="S83" s="190"/>
      <c r="T83" s="121"/>
      <c r="U83" s="121"/>
      <c r="V83" s="191"/>
      <c r="W83" s="190"/>
      <c r="X83" s="190"/>
      <c r="Y83" s="190"/>
      <c r="Z83" s="191"/>
      <c r="AA83" s="191"/>
      <c r="AB83" s="190"/>
      <c r="AC83" s="190"/>
      <c r="AD83" s="190"/>
      <c r="AE83" s="191"/>
      <c r="AF83" s="191"/>
      <c r="AG83" s="54"/>
      <c r="AH83" s="54"/>
      <c r="AI83" s="54"/>
    </row>
    <row r="84" spans="1:35" ht="14.45" customHeight="1" x14ac:dyDescent="0.25">
      <c r="A84" s="127"/>
      <c r="B84" s="128"/>
      <c r="C84" s="133"/>
      <c r="D84" s="124" t="s">
        <v>273</v>
      </c>
      <c r="E84" s="129">
        <v>8</v>
      </c>
      <c r="F84" s="129">
        <v>25</v>
      </c>
      <c r="G84" s="163" t="s">
        <v>65</v>
      </c>
      <c r="H84" s="129">
        <v>8</v>
      </c>
      <c r="I84" s="129">
        <v>25</v>
      </c>
      <c r="J84" s="163" t="s">
        <v>65</v>
      </c>
      <c r="K84" s="83"/>
      <c r="L84" s="83"/>
      <c r="M84" s="83"/>
      <c r="N84" s="83"/>
      <c r="O84" s="83"/>
      <c r="P84" s="83"/>
      <c r="Q84" s="107"/>
      <c r="R84" s="499"/>
      <c r="S84" s="190"/>
      <c r="T84" s="121"/>
      <c r="U84" s="121"/>
      <c r="V84" s="191"/>
      <c r="W84" s="190"/>
      <c r="X84" s="190"/>
      <c r="Y84" s="190"/>
      <c r="Z84" s="191"/>
      <c r="AA84" s="191"/>
      <c r="AB84" s="190"/>
      <c r="AC84" s="190"/>
      <c r="AD84" s="190"/>
      <c r="AE84" s="191"/>
      <c r="AF84" s="191"/>
      <c r="AG84" s="54"/>
      <c r="AH84" s="54"/>
      <c r="AI84" s="54"/>
    </row>
    <row r="85" spans="1:35" ht="14.45" customHeight="1" x14ac:dyDescent="0.25">
      <c r="A85" s="127"/>
      <c r="B85" s="128"/>
      <c r="C85" s="133"/>
      <c r="D85" s="124" t="s">
        <v>274</v>
      </c>
      <c r="E85" s="129">
        <v>1.4</v>
      </c>
      <c r="F85" s="129">
        <v>4.5</v>
      </c>
      <c r="G85" s="163" t="s">
        <v>65</v>
      </c>
      <c r="H85" s="129">
        <v>1.4</v>
      </c>
      <c r="I85" s="129">
        <v>4.5</v>
      </c>
      <c r="J85" s="163" t="s">
        <v>65</v>
      </c>
      <c r="K85" s="83"/>
      <c r="L85" s="83"/>
      <c r="M85" s="83"/>
      <c r="N85" s="83"/>
      <c r="O85" s="83"/>
      <c r="P85" s="83"/>
      <c r="Q85" s="107"/>
      <c r="R85" s="499"/>
      <c r="S85" s="190"/>
      <c r="T85" s="121"/>
      <c r="U85" s="121"/>
      <c r="V85" s="191"/>
      <c r="W85" s="190"/>
      <c r="X85" s="190"/>
      <c r="Y85" s="190"/>
      <c r="Z85" s="191"/>
      <c r="AA85" s="191"/>
      <c r="AB85" s="190"/>
      <c r="AC85" s="190"/>
      <c r="AD85" s="190"/>
      <c r="AE85" s="191"/>
      <c r="AF85" s="191"/>
      <c r="AG85" s="54"/>
      <c r="AH85" s="54"/>
      <c r="AI85" s="54"/>
    </row>
    <row r="86" spans="1:35" ht="14.45" customHeight="1" x14ac:dyDescent="0.25">
      <c r="A86" s="127"/>
      <c r="B86" s="128"/>
      <c r="C86" s="133"/>
      <c r="D86" s="124" t="s">
        <v>275</v>
      </c>
      <c r="E86" s="129">
        <v>3.8</v>
      </c>
      <c r="F86" s="129">
        <v>12</v>
      </c>
      <c r="G86" s="163" t="s">
        <v>65</v>
      </c>
      <c r="H86" s="129">
        <v>3.8</v>
      </c>
      <c r="I86" s="129">
        <v>12</v>
      </c>
      <c r="J86" s="163" t="s">
        <v>65</v>
      </c>
      <c r="K86" s="83"/>
      <c r="L86" s="83"/>
      <c r="M86" s="83"/>
      <c r="N86" s="83"/>
      <c r="O86" s="83"/>
      <c r="P86" s="83"/>
      <c r="Q86" s="107"/>
      <c r="R86" s="499"/>
      <c r="S86" s="190"/>
      <c r="T86" s="121"/>
      <c r="U86" s="121"/>
      <c r="V86" s="191"/>
      <c r="W86" s="190"/>
      <c r="X86" s="190"/>
      <c r="Y86" s="190"/>
      <c r="Z86" s="191"/>
      <c r="AA86" s="191"/>
      <c r="AB86" s="190"/>
      <c r="AC86" s="190"/>
      <c r="AD86" s="190"/>
      <c r="AE86" s="191"/>
      <c r="AF86" s="191"/>
      <c r="AG86" s="54"/>
      <c r="AH86" s="54"/>
      <c r="AI86" s="54"/>
    </row>
    <row r="87" spans="1:35" ht="14.45" customHeight="1" x14ac:dyDescent="0.25">
      <c r="A87" s="482"/>
      <c r="B87" s="113"/>
      <c r="C87" s="113"/>
      <c r="D87" s="124" t="s">
        <v>821</v>
      </c>
      <c r="E87" s="639"/>
      <c r="F87" s="129">
        <v>30</v>
      </c>
      <c r="G87" s="163" t="s">
        <v>65</v>
      </c>
      <c r="H87" s="639"/>
      <c r="I87" s="129">
        <v>30</v>
      </c>
      <c r="J87" s="163" t="s">
        <v>65</v>
      </c>
      <c r="K87" s="83"/>
      <c r="L87" s="83"/>
      <c r="M87" s="83"/>
      <c r="N87" s="83"/>
      <c r="O87" s="83"/>
      <c r="P87" s="83"/>
      <c r="Q87" s="107"/>
      <c r="R87" s="499"/>
      <c r="S87" s="190"/>
      <c r="T87" s="121"/>
      <c r="U87" s="121"/>
      <c r="V87" s="191"/>
      <c r="W87" s="190"/>
      <c r="X87" s="190"/>
      <c r="Y87" s="190"/>
      <c r="Z87" s="191"/>
      <c r="AA87" s="191"/>
      <c r="AB87" s="190"/>
      <c r="AC87" s="190"/>
      <c r="AD87" s="190"/>
      <c r="AE87" s="191"/>
      <c r="AF87" s="191"/>
      <c r="AG87" s="54"/>
      <c r="AH87" s="54"/>
      <c r="AI87" s="54"/>
    </row>
    <row r="88" spans="1:35" ht="14.45" customHeight="1" x14ac:dyDescent="0.25">
      <c r="A88" s="482"/>
      <c r="B88" s="113"/>
      <c r="C88" s="113"/>
      <c r="D88" s="124" t="s">
        <v>820</v>
      </c>
      <c r="E88" s="129">
        <v>213</v>
      </c>
      <c r="F88" s="129">
        <v>1700</v>
      </c>
      <c r="G88" s="163" t="s">
        <v>30</v>
      </c>
      <c r="H88" s="129">
        <v>213</v>
      </c>
      <c r="I88" s="129">
        <v>1700</v>
      </c>
      <c r="J88" s="163" t="s">
        <v>30</v>
      </c>
      <c r="K88" s="83"/>
      <c r="L88" s="83"/>
      <c r="M88" s="83"/>
      <c r="N88" s="83"/>
      <c r="O88" s="83"/>
      <c r="P88" s="83"/>
      <c r="Q88" s="107"/>
      <c r="R88" s="499"/>
      <c r="S88" s="190"/>
      <c r="T88" s="121"/>
      <c r="U88" s="121"/>
      <c r="V88" s="191"/>
      <c r="W88" s="190"/>
      <c r="X88" s="190"/>
      <c r="Y88" s="190"/>
      <c r="Z88" s="191"/>
      <c r="AA88" s="191"/>
      <c r="AB88" s="190"/>
      <c r="AC88" s="190"/>
      <c r="AD88" s="190"/>
      <c r="AE88" s="191"/>
      <c r="AF88" s="191"/>
      <c r="AG88" s="54"/>
      <c r="AH88" s="54"/>
      <c r="AI88" s="54"/>
    </row>
    <row r="89" spans="1:35" ht="14.45" customHeight="1" x14ac:dyDescent="0.25">
      <c r="A89" s="127"/>
      <c r="B89" s="128"/>
      <c r="C89" s="133"/>
      <c r="D89" s="124" t="s">
        <v>276</v>
      </c>
      <c r="E89" s="129">
        <v>0.5</v>
      </c>
      <c r="F89" s="129">
        <v>0.5</v>
      </c>
      <c r="G89" s="163" t="s">
        <v>138</v>
      </c>
      <c r="H89" s="129">
        <v>0.5</v>
      </c>
      <c r="I89" s="129">
        <v>0.5</v>
      </c>
      <c r="J89" s="163" t="s">
        <v>138</v>
      </c>
      <c r="K89" s="83"/>
      <c r="L89" s="83"/>
      <c r="M89" s="83"/>
      <c r="N89" s="83"/>
      <c r="O89" s="83"/>
      <c r="P89" s="83"/>
      <c r="Q89" s="107"/>
      <c r="R89" s="499"/>
      <c r="S89" s="190"/>
      <c r="T89" s="121"/>
      <c r="U89" s="121"/>
      <c r="V89" s="191"/>
      <c r="W89" s="190"/>
      <c r="X89" s="190"/>
      <c r="Y89" s="190"/>
      <c r="Z89" s="191"/>
      <c r="AA89" s="191"/>
      <c r="AB89" s="190"/>
      <c r="AC89" s="190"/>
      <c r="AD89" s="190"/>
      <c r="AE89" s="191"/>
      <c r="AF89" s="191"/>
      <c r="AG89" s="54"/>
      <c r="AH89" s="54"/>
      <c r="AI89" s="54"/>
    </row>
    <row r="90" spans="1:35" ht="14.45" customHeight="1" x14ac:dyDescent="0.25">
      <c r="A90" s="127"/>
      <c r="B90" s="128"/>
      <c r="C90" s="133"/>
      <c r="D90" s="124" t="s">
        <v>277</v>
      </c>
      <c r="E90" s="129">
        <v>64</v>
      </c>
      <c r="F90" s="129">
        <v>280</v>
      </c>
      <c r="G90" s="163" t="s">
        <v>66</v>
      </c>
      <c r="H90" s="129">
        <v>64</v>
      </c>
      <c r="I90" s="129">
        <v>280</v>
      </c>
      <c r="J90" s="163" t="s">
        <v>66</v>
      </c>
      <c r="K90" s="83"/>
      <c r="L90" s="83"/>
      <c r="M90" s="83"/>
      <c r="N90" s="83"/>
      <c r="O90" s="83"/>
      <c r="P90" s="83"/>
      <c r="Q90" s="107"/>
      <c r="R90" s="499"/>
      <c r="S90" s="190"/>
      <c r="T90" s="121"/>
      <c r="U90" s="121"/>
      <c r="V90" s="191"/>
      <c r="W90" s="190"/>
      <c r="X90" s="190"/>
      <c r="Y90" s="190"/>
      <c r="Z90" s="191"/>
      <c r="AA90" s="191"/>
      <c r="AB90" s="190"/>
      <c r="AC90" s="190"/>
      <c r="AD90" s="190"/>
      <c r="AE90" s="191"/>
      <c r="AF90" s="191"/>
      <c r="AG90" s="54"/>
      <c r="AH90" s="54"/>
      <c r="AI90" s="54"/>
    </row>
    <row r="91" spans="1:35" ht="14.45" customHeight="1" x14ac:dyDescent="0.25">
      <c r="A91" s="127"/>
      <c r="B91" s="128"/>
      <c r="C91" s="133"/>
      <c r="D91" s="124" t="s">
        <v>545</v>
      </c>
      <c r="E91" s="129">
        <v>2.9</v>
      </c>
      <c r="F91" s="129">
        <v>3</v>
      </c>
      <c r="G91" s="163" t="s">
        <v>0</v>
      </c>
      <c r="H91" s="129">
        <v>2.9</v>
      </c>
      <c r="I91" s="129">
        <v>3</v>
      </c>
      <c r="J91" s="163" t="s">
        <v>0</v>
      </c>
      <c r="K91" s="83"/>
      <c r="L91" s="83"/>
      <c r="M91" s="83"/>
      <c r="N91" s="83"/>
      <c r="O91" s="83"/>
      <c r="P91" s="83"/>
      <c r="Q91" s="107"/>
      <c r="R91" s="499"/>
      <c r="S91" s="190"/>
      <c r="T91" s="121"/>
      <c r="U91" s="121"/>
      <c r="V91" s="191"/>
      <c r="W91" s="190"/>
      <c r="X91" s="190"/>
      <c r="Y91" s="190"/>
      <c r="Z91" s="191"/>
      <c r="AA91" s="191"/>
      <c r="AB91" s="190"/>
      <c r="AC91" s="190"/>
      <c r="AD91" s="190"/>
      <c r="AE91" s="191"/>
      <c r="AF91" s="191"/>
      <c r="AG91" s="54"/>
      <c r="AH91" s="54"/>
      <c r="AI91" s="54"/>
    </row>
    <row r="92" spans="1:35" ht="14.45" customHeight="1" x14ac:dyDescent="0.25">
      <c r="A92" s="127"/>
      <c r="B92" s="128"/>
      <c r="C92" s="133"/>
      <c r="D92" s="124" t="s">
        <v>542</v>
      </c>
      <c r="E92" s="129">
        <v>0.7</v>
      </c>
      <c r="F92" s="129">
        <v>0.7</v>
      </c>
      <c r="G92" s="163" t="s">
        <v>0</v>
      </c>
      <c r="H92" s="129">
        <v>0.7</v>
      </c>
      <c r="I92" s="129">
        <v>0.7</v>
      </c>
      <c r="J92" s="163" t="s">
        <v>0</v>
      </c>
      <c r="K92" s="83"/>
      <c r="L92" s="83"/>
      <c r="M92" s="83"/>
      <c r="N92" s="83"/>
      <c r="O92" s="83"/>
      <c r="P92" s="83"/>
      <c r="Q92" s="107"/>
      <c r="R92" s="499"/>
      <c r="S92" s="190"/>
      <c r="T92" s="121"/>
      <c r="U92" s="121"/>
      <c r="V92" s="191"/>
      <c r="W92" s="190"/>
      <c r="X92" s="190"/>
      <c r="Y92" s="190"/>
      <c r="Z92" s="191"/>
      <c r="AA92" s="191"/>
      <c r="AB92" s="190"/>
      <c r="AC92" s="190"/>
      <c r="AD92" s="190"/>
      <c r="AE92" s="191"/>
      <c r="AF92" s="191"/>
      <c r="AG92" s="54"/>
      <c r="AH92" s="54"/>
      <c r="AI92" s="54"/>
    </row>
    <row r="93" spans="1:35" ht="14.25" customHeight="1" x14ac:dyDescent="0.25">
      <c r="A93" s="127"/>
      <c r="B93" s="128"/>
      <c r="C93" s="128"/>
      <c r="D93" s="124" t="s">
        <v>544</v>
      </c>
      <c r="E93" s="2"/>
      <c r="F93" s="129">
        <v>60</v>
      </c>
      <c r="G93" s="163" t="s">
        <v>65</v>
      </c>
      <c r="H93" s="113"/>
      <c r="I93" s="129">
        <v>60</v>
      </c>
      <c r="J93" s="163" t="s">
        <v>65</v>
      </c>
      <c r="K93" s="83"/>
      <c r="L93" s="83"/>
      <c r="M93" s="83"/>
      <c r="N93" s="83"/>
      <c r="O93" s="83"/>
      <c r="P93" s="83"/>
      <c r="Q93" s="107"/>
      <c r="R93" s="499"/>
      <c r="S93" s="190"/>
      <c r="T93" s="121"/>
      <c r="U93" s="121"/>
      <c r="V93" s="191"/>
      <c r="W93" s="190"/>
      <c r="X93" s="190"/>
      <c r="Y93" s="190"/>
      <c r="Z93" s="191"/>
      <c r="AA93" s="191"/>
      <c r="AB93" s="190"/>
      <c r="AC93" s="190"/>
      <c r="AD93" s="190"/>
      <c r="AE93" s="191"/>
      <c r="AF93" s="191"/>
      <c r="AG93" s="54"/>
      <c r="AH93" s="54"/>
      <c r="AI93" s="54"/>
    </row>
    <row r="94" spans="1:35" ht="14.45" customHeight="1" thickBot="1" x14ac:dyDescent="0.3">
      <c r="A94" s="195"/>
      <c r="B94" s="176"/>
      <c r="C94" s="196"/>
      <c r="D94" s="177" t="s">
        <v>278</v>
      </c>
      <c r="E94" s="250">
        <v>50</v>
      </c>
      <c r="F94" s="250">
        <v>38</v>
      </c>
      <c r="G94" s="178" t="s">
        <v>205</v>
      </c>
      <c r="H94" s="250">
        <v>50</v>
      </c>
      <c r="I94" s="250">
        <v>38</v>
      </c>
      <c r="J94" s="178" t="s">
        <v>205</v>
      </c>
      <c r="K94" s="83"/>
      <c r="L94" s="83"/>
      <c r="M94" s="83"/>
      <c r="N94" s="83"/>
      <c r="O94" s="83"/>
      <c r="P94" s="83"/>
      <c r="Q94" s="107"/>
      <c r="R94" s="499"/>
      <c r="S94" s="190"/>
      <c r="T94" s="121"/>
      <c r="U94" s="121"/>
      <c r="V94" s="191"/>
      <c r="W94" s="190"/>
      <c r="X94" s="190"/>
      <c r="Y94" s="190"/>
      <c r="Z94" s="191"/>
      <c r="AA94" s="191"/>
      <c r="AB94" s="190"/>
      <c r="AC94" s="190"/>
      <c r="AD94" s="190"/>
      <c r="AE94" s="191"/>
      <c r="AF94" s="191"/>
      <c r="AG94" s="54"/>
      <c r="AH94" s="54"/>
      <c r="AI94" s="54"/>
    </row>
    <row r="95" spans="1:35" ht="14.45" customHeight="1" thickBot="1" x14ac:dyDescent="0.25">
      <c r="A95" s="127"/>
      <c r="B95" s="128"/>
      <c r="C95" s="133"/>
      <c r="D95" s="124"/>
      <c r="E95" s="194"/>
      <c r="F95" s="197"/>
      <c r="G95" s="128"/>
      <c r="H95" s="128"/>
      <c r="I95" s="83"/>
      <c r="J95" s="83"/>
      <c r="K95" s="83"/>
      <c r="L95" s="83"/>
      <c r="M95" s="83"/>
      <c r="N95" s="83"/>
      <c r="O95" s="83"/>
      <c r="P95" s="83"/>
      <c r="Q95" s="107"/>
      <c r="R95" s="499"/>
      <c r="S95" s="190"/>
      <c r="T95" s="121"/>
      <c r="U95" s="121"/>
      <c r="V95" s="191"/>
      <c r="W95" s="190"/>
      <c r="X95" s="190"/>
      <c r="Y95" s="190"/>
      <c r="Z95" s="191"/>
      <c r="AA95" s="191"/>
      <c r="AB95" s="190"/>
      <c r="AC95" s="190"/>
      <c r="AD95" s="190"/>
      <c r="AE95" s="191"/>
      <c r="AF95" s="191"/>
      <c r="AG95" s="54"/>
      <c r="AH95" s="54"/>
      <c r="AI95" s="54"/>
    </row>
    <row r="96" spans="1:35" ht="14.45" customHeight="1" x14ac:dyDescent="0.2">
      <c r="A96" s="608" t="s">
        <v>510</v>
      </c>
      <c r="B96" s="472"/>
      <c r="C96" s="473"/>
      <c r="D96" s="485"/>
      <c r="E96" s="601" t="str">
        <f>CHOOSE(MODE, "Ch1", "")</f>
        <v>Ch1</v>
      </c>
      <c r="F96" s="602" t="str">
        <f>CHOOSE(MODE, "Ch2", "")</f>
        <v>Ch2</v>
      </c>
      <c r="G96" s="474"/>
      <c r="H96" s="128"/>
      <c r="I96" s="83"/>
      <c r="J96" s="83"/>
      <c r="K96" s="83"/>
      <c r="L96" s="83"/>
      <c r="M96" s="83"/>
      <c r="N96" s="83"/>
      <c r="O96" s="83"/>
      <c r="P96" s="83"/>
      <c r="Q96" s="107"/>
      <c r="R96" s="499"/>
      <c r="S96" s="190"/>
      <c r="T96" s="121"/>
      <c r="U96" s="121"/>
      <c r="V96" s="191"/>
      <c r="W96" s="190"/>
      <c r="X96" s="190"/>
      <c r="Y96" s="190"/>
      <c r="Z96" s="191"/>
      <c r="AA96" s="191"/>
      <c r="AB96" s="190"/>
      <c r="AC96" s="190"/>
      <c r="AD96" s="190"/>
      <c r="AE96" s="191"/>
      <c r="AF96" s="191"/>
      <c r="AG96" s="54"/>
      <c r="AH96" s="54"/>
      <c r="AI96" s="54"/>
    </row>
    <row r="97" spans="1:35" ht="14.45" customHeight="1" x14ac:dyDescent="0.25">
      <c r="A97" s="127"/>
      <c r="B97" s="128"/>
      <c r="C97" s="128"/>
      <c r="D97" s="124" t="s">
        <v>546</v>
      </c>
      <c r="E97" s="251">
        <v>0</v>
      </c>
      <c r="F97" s="251">
        <v>0</v>
      </c>
      <c r="G97" s="163" t="s">
        <v>0</v>
      </c>
      <c r="H97" s="128"/>
      <c r="I97" s="83"/>
      <c r="J97" s="83"/>
      <c r="K97" s="83"/>
      <c r="L97" s="83"/>
      <c r="M97" s="83"/>
      <c r="N97" s="83"/>
      <c r="O97" s="83"/>
      <c r="P97" s="83"/>
      <c r="Q97" s="107"/>
      <c r="R97" s="499"/>
      <c r="S97" s="190"/>
      <c r="T97" s="121"/>
      <c r="U97" s="121"/>
      <c r="V97" s="191"/>
      <c r="W97" s="190"/>
      <c r="X97" s="190"/>
      <c r="Y97" s="190"/>
      <c r="Z97" s="191"/>
      <c r="AA97" s="191"/>
      <c r="AB97" s="190"/>
      <c r="AC97" s="190"/>
      <c r="AD97" s="190"/>
      <c r="AE97" s="191"/>
      <c r="AF97" s="191"/>
      <c r="AG97" s="54"/>
      <c r="AH97" s="54"/>
      <c r="AI97" s="54"/>
    </row>
    <row r="98" spans="1:35" ht="14.45" customHeight="1" thickBot="1" x14ac:dyDescent="0.3">
      <c r="A98" s="195"/>
      <c r="B98" s="176"/>
      <c r="C98" s="176"/>
      <c r="D98" s="177" t="s">
        <v>543</v>
      </c>
      <c r="E98" s="252">
        <v>0</v>
      </c>
      <c r="F98" s="252">
        <v>0</v>
      </c>
      <c r="G98" s="178" t="s">
        <v>65</v>
      </c>
      <c r="H98" s="128"/>
      <c r="I98" s="83"/>
      <c r="J98" s="83"/>
      <c r="K98" s="83"/>
      <c r="L98" s="83"/>
      <c r="M98" s="83"/>
      <c r="N98" s="83"/>
      <c r="O98" s="83"/>
      <c r="P98" s="83"/>
      <c r="Q98" s="107"/>
      <c r="R98" s="499"/>
      <c r="S98" s="190"/>
      <c r="T98" s="121"/>
      <c r="U98" s="121"/>
      <c r="V98" s="191"/>
      <c r="W98" s="190"/>
      <c r="X98" s="190"/>
      <c r="Y98" s="190"/>
      <c r="Z98" s="191"/>
      <c r="AA98" s="191"/>
      <c r="AB98" s="190"/>
      <c r="AC98" s="190"/>
      <c r="AD98" s="190"/>
      <c r="AE98" s="191"/>
      <c r="AF98" s="191"/>
      <c r="AG98" s="54"/>
      <c r="AH98" s="54"/>
      <c r="AI98" s="54"/>
    </row>
    <row r="99" spans="1:35" ht="14.45" customHeight="1" x14ac:dyDescent="0.2">
      <c r="A99" s="186"/>
      <c r="B99" s="135"/>
      <c r="C99" s="135"/>
      <c r="D99" s="638"/>
      <c r="E99" s="113"/>
      <c r="F99" s="113"/>
      <c r="G99" s="113"/>
      <c r="H99" s="128"/>
      <c r="I99" s="83"/>
      <c r="J99" s="83"/>
      <c r="K99" s="83"/>
      <c r="L99" s="83"/>
      <c r="M99" s="83"/>
      <c r="N99" s="83"/>
      <c r="O99" s="83"/>
      <c r="P99" s="83"/>
      <c r="Q99" s="107"/>
      <c r="R99" s="499"/>
      <c r="S99" s="190"/>
      <c r="T99" s="121"/>
      <c r="U99" s="121"/>
      <c r="V99" s="191"/>
      <c r="W99" s="190"/>
      <c r="X99" s="190"/>
      <c r="Y99" s="190"/>
      <c r="Z99" s="191"/>
      <c r="AA99" s="191"/>
      <c r="AB99" s="190"/>
      <c r="AC99" s="190"/>
      <c r="AD99" s="190"/>
      <c r="AE99" s="191"/>
      <c r="AF99" s="191"/>
      <c r="AG99" s="54"/>
      <c r="AH99" s="54"/>
      <c r="AI99" s="54"/>
    </row>
    <row r="100" spans="1:35" ht="19.5" customHeight="1" x14ac:dyDescent="0.2">
      <c r="A100" s="186"/>
      <c r="B100" s="135"/>
      <c r="C100" s="639"/>
      <c r="D100" s="638"/>
      <c r="E100" s="113"/>
      <c r="F100" s="113"/>
      <c r="G100" s="113"/>
      <c r="H100" s="128"/>
      <c r="I100" s="83"/>
      <c r="J100" s="83"/>
      <c r="K100" s="83"/>
      <c r="L100" s="83"/>
      <c r="M100" s="83"/>
      <c r="N100" s="83"/>
      <c r="O100" s="83"/>
      <c r="P100" s="83"/>
      <c r="Q100" s="107"/>
      <c r="R100" s="499"/>
      <c r="S100" s="190"/>
      <c r="T100" s="121"/>
      <c r="U100" s="121"/>
      <c r="V100" s="191"/>
      <c r="W100" s="190"/>
      <c r="X100" s="190"/>
      <c r="Y100" s="190"/>
      <c r="Z100" s="191"/>
      <c r="AA100" s="191"/>
      <c r="AB100" s="190"/>
      <c r="AC100" s="190"/>
      <c r="AD100" s="190"/>
      <c r="AE100" s="191"/>
      <c r="AF100" s="191"/>
      <c r="AG100" s="54"/>
      <c r="AH100" s="54"/>
      <c r="AI100" s="54"/>
    </row>
    <row r="101" spans="1:35" ht="15" customHeight="1" x14ac:dyDescent="0.2">
      <c r="A101" s="186"/>
      <c r="B101" s="135"/>
      <c r="C101" s="639"/>
      <c r="D101" s="638"/>
      <c r="E101" s="113"/>
      <c r="F101" s="113"/>
      <c r="G101" s="113"/>
      <c r="H101" s="128"/>
      <c r="I101" s="83"/>
      <c r="J101" s="83"/>
      <c r="K101" s="83"/>
      <c r="L101" s="83"/>
      <c r="M101" s="83"/>
      <c r="N101" s="83"/>
      <c r="O101" s="83"/>
      <c r="P101" s="83"/>
      <c r="Q101" s="107"/>
      <c r="R101" s="499"/>
      <c r="S101" s="54"/>
      <c r="T101" s="6"/>
      <c r="U101" s="6"/>
      <c r="W101" s="54"/>
      <c r="X101" s="54"/>
      <c r="Y101" s="54"/>
      <c r="AB101" s="54"/>
      <c r="AC101" s="54"/>
      <c r="AD101" s="54"/>
      <c r="AG101" s="54"/>
      <c r="AH101" s="54"/>
      <c r="AI101" s="54"/>
    </row>
    <row r="102" spans="1:35" ht="19.5" customHeight="1" thickBot="1" x14ac:dyDescent="0.3">
      <c r="A102" s="151" t="s">
        <v>805</v>
      </c>
      <c r="B102" s="135"/>
      <c r="C102" s="639"/>
      <c r="D102" s="638"/>
      <c r="E102" s="113"/>
      <c r="F102" s="113"/>
      <c r="G102" s="113"/>
      <c r="H102" s="128"/>
      <c r="I102" s="83"/>
      <c r="J102" s="83"/>
      <c r="K102" s="83"/>
      <c r="L102" s="83"/>
      <c r="M102" s="83"/>
      <c r="N102" s="83"/>
      <c r="O102" s="83"/>
      <c r="P102" s="83"/>
      <c r="Q102" s="107"/>
      <c r="R102" s="499"/>
      <c r="S102" s="54"/>
      <c r="T102" s="54"/>
      <c r="W102" s="54"/>
      <c r="X102" s="54"/>
      <c r="Y102" s="54"/>
      <c r="AB102" s="54"/>
      <c r="AC102" s="54"/>
      <c r="AD102" s="54"/>
      <c r="AG102" s="54"/>
      <c r="AH102" s="54"/>
      <c r="AI102" s="54"/>
    </row>
    <row r="103" spans="1:35" ht="15.75" customHeight="1" x14ac:dyDescent="0.2">
      <c r="A103" s="185"/>
      <c r="B103" s="154"/>
      <c r="C103" s="155"/>
      <c r="D103" s="155" t="s">
        <v>817</v>
      </c>
      <c r="E103" s="560">
        <f>'Variable Management'!B322</f>
        <v>0.69300000000000006</v>
      </c>
      <c r="F103" s="162" t="s">
        <v>116</v>
      </c>
      <c r="G103" s="113"/>
      <c r="H103" s="128"/>
      <c r="I103" s="83"/>
      <c r="J103" s="83"/>
      <c r="K103" s="83"/>
      <c r="L103" s="83"/>
      <c r="M103" s="83"/>
      <c r="N103" s="83"/>
      <c r="O103" s="83"/>
      <c r="P103" s="83"/>
      <c r="Q103" s="107"/>
      <c r="R103" s="499"/>
      <c r="S103" s="54"/>
      <c r="T103" s="54"/>
      <c r="W103" s="54"/>
      <c r="X103" s="54"/>
      <c r="Y103" s="54"/>
      <c r="AB103" s="54"/>
      <c r="AC103" s="54"/>
      <c r="AD103" s="54"/>
      <c r="AG103" s="54"/>
      <c r="AH103" s="54"/>
      <c r="AI103" s="54"/>
    </row>
    <row r="104" spans="1:35" ht="14.45" customHeight="1" thickBot="1" x14ac:dyDescent="0.25">
      <c r="A104" s="159"/>
      <c r="B104" s="160"/>
      <c r="C104" s="160"/>
      <c r="D104" s="265" t="s">
        <v>806</v>
      </c>
      <c r="E104" s="597">
        <f>'Variable Management'!B324</f>
        <v>49.116399999999999</v>
      </c>
      <c r="F104" s="284" t="s">
        <v>226</v>
      </c>
      <c r="G104" s="113"/>
      <c r="H104" s="128"/>
      <c r="I104" s="83"/>
      <c r="J104" s="83"/>
      <c r="K104" s="83"/>
      <c r="L104" s="83"/>
      <c r="M104" s="83"/>
      <c r="N104" s="83"/>
      <c r="O104" s="83"/>
      <c r="P104" s="83"/>
      <c r="Q104" s="107"/>
      <c r="R104" s="499"/>
      <c r="S104" s="54"/>
      <c r="T104" s="54"/>
      <c r="W104" s="54"/>
      <c r="X104" s="54"/>
      <c r="Y104" s="54"/>
      <c r="AB104" s="54"/>
      <c r="AC104" s="54"/>
      <c r="AD104" s="54"/>
      <c r="AG104" s="54"/>
      <c r="AH104" s="54"/>
      <c r="AI104" s="54"/>
    </row>
    <row r="105" spans="1:35" ht="14.25" customHeight="1" x14ac:dyDescent="0.2">
      <c r="A105" s="640"/>
      <c r="B105" s="135"/>
      <c r="C105" s="135"/>
      <c r="D105" s="638"/>
      <c r="E105" s="113"/>
      <c r="F105" s="113"/>
      <c r="G105" s="113"/>
      <c r="H105" s="128"/>
      <c r="I105" s="83"/>
      <c r="J105" s="83"/>
      <c r="K105" s="83"/>
      <c r="L105" s="83"/>
      <c r="M105" s="83"/>
      <c r="N105" s="83"/>
      <c r="O105" s="83"/>
      <c r="P105" s="83"/>
      <c r="Q105" s="107"/>
      <c r="R105" s="499"/>
      <c r="S105" s="54"/>
      <c r="T105" s="54"/>
      <c r="W105" s="54"/>
      <c r="X105" s="54"/>
      <c r="Y105" s="54"/>
      <c r="AB105" s="54"/>
      <c r="AC105" s="54"/>
      <c r="AD105" s="54"/>
      <c r="AG105" s="54"/>
      <c r="AH105" s="54"/>
      <c r="AI105" s="54"/>
    </row>
    <row r="106" spans="1:35" ht="14.45" customHeight="1" x14ac:dyDescent="0.2">
      <c r="A106" s="641"/>
      <c r="B106" s="128"/>
      <c r="C106" s="128"/>
      <c r="D106" s="124"/>
      <c r="E106" s="471"/>
      <c r="F106" s="128"/>
      <c r="G106" s="128"/>
      <c r="H106" s="128"/>
      <c r="I106" s="87"/>
      <c r="J106" s="88"/>
      <c r="K106" s="83"/>
      <c r="L106" s="83"/>
      <c r="M106" s="83"/>
      <c r="N106" s="83"/>
      <c r="O106" s="83"/>
      <c r="P106" s="83"/>
      <c r="Q106" s="107"/>
      <c r="R106" s="499"/>
      <c r="S106" s="54"/>
      <c r="T106" s="54"/>
      <c r="W106" s="54"/>
      <c r="X106" s="54"/>
      <c r="Y106" s="54"/>
      <c r="AB106" s="54"/>
      <c r="AC106" s="54"/>
      <c r="AD106" s="54"/>
      <c r="AG106" s="54"/>
      <c r="AH106" s="54"/>
      <c r="AI106" s="54"/>
    </row>
    <row r="107" spans="1:35" ht="14.45" customHeight="1" x14ac:dyDescent="0.2">
      <c r="A107" s="648"/>
      <c r="B107" s="113"/>
      <c r="C107" s="113"/>
      <c r="D107" s="113"/>
      <c r="E107" s="113"/>
      <c r="F107" s="113"/>
      <c r="G107" s="113"/>
      <c r="H107" s="128"/>
      <c r="I107" s="83"/>
      <c r="J107" s="83"/>
      <c r="K107" s="83"/>
      <c r="L107" s="83"/>
      <c r="M107" s="83"/>
      <c r="N107" s="83"/>
      <c r="O107" s="83"/>
      <c r="P107" s="83"/>
      <c r="Q107" s="107"/>
      <c r="R107" s="499"/>
      <c r="S107" s="54"/>
      <c r="T107" s="54"/>
      <c r="W107" s="54"/>
      <c r="X107" s="54"/>
      <c r="Y107" s="54"/>
      <c r="AB107" s="54"/>
      <c r="AC107" s="54"/>
      <c r="AD107" s="54"/>
      <c r="AG107" s="54"/>
      <c r="AH107" s="54"/>
      <c r="AI107" s="54"/>
    </row>
    <row r="108" spans="1:35" ht="14.45" customHeight="1" x14ac:dyDescent="0.2">
      <c r="A108" s="648"/>
      <c r="B108" s="113"/>
      <c r="C108" s="113"/>
      <c r="D108" s="113"/>
      <c r="E108" s="113"/>
      <c r="F108" s="113"/>
      <c r="G108" s="113"/>
      <c r="H108" s="128"/>
      <c r="I108" s="83"/>
      <c r="J108" s="83"/>
      <c r="K108" s="83"/>
      <c r="L108" s="83"/>
      <c r="M108" s="83"/>
      <c r="N108" s="83"/>
      <c r="O108" s="83"/>
      <c r="P108" s="83"/>
      <c r="Q108" s="107"/>
      <c r="R108" s="499"/>
      <c r="S108" s="54"/>
      <c r="T108" s="54"/>
      <c r="W108" s="54"/>
      <c r="X108" s="54"/>
      <c r="Y108" s="54"/>
      <c r="AB108" s="54"/>
      <c r="AC108" s="54"/>
      <c r="AD108" s="54"/>
      <c r="AG108" s="54"/>
      <c r="AH108" s="54"/>
      <c r="AI108" s="54"/>
    </row>
    <row r="109" spans="1:35" ht="13.5" thickBot="1" x14ac:dyDescent="0.25">
      <c r="A109" s="159"/>
      <c r="B109" s="160"/>
      <c r="C109" s="160"/>
      <c r="D109" s="160"/>
      <c r="E109" s="205"/>
      <c r="F109" s="160"/>
      <c r="G109" s="160"/>
      <c r="H109" s="160"/>
      <c r="I109" s="206"/>
      <c r="J109" s="206"/>
      <c r="K109" s="206"/>
      <c r="L109" s="206"/>
      <c r="M109" s="206"/>
      <c r="N109" s="206"/>
      <c r="O109" s="206"/>
      <c r="P109" s="206"/>
      <c r="Q109" s="207"/>
      <c r="R109" s="499"/>
      <c r="S109" s="54"/>
      <c r="T109" s="54"/>
      <c r="W109" s="54"/>
      <c r="X109" s="54"/>
      <c r="Y109" s="54"/>
      <c r="AB109" s="54"/>
      <c r="AC109" s="54"/>
      <c r="AD109" s="54"/>
      <c r="AG109" s="54"/>
      <c r="AH109" s="54"/>
      <c r="AI109" s="54"/>
    </row>
    <row r="110" spans="1:35" x14ac:dyDescent="0.2">
      <c r="A110" s="496"/>
      <c r="B110" s="497"/>
      <c r="C110" s="498"/>
      <c r="D110" s="498"/>
      <c r="E110" s="498"/>
      <c r="F110" s="498"/>
      <c r="G110" s="498"/>
      <c r="H110" s="498"/>
      <c r="I110" s="498"/>
      <c r="J110" s="498"/>
      <c r="K110" s="498"/>
      <c r="L110" s="498"/>
      <c r="M110" s="498"/>
      <c r="N110" s="498"/>
      <c r="O110" s="498"/>
      <c r="P110" s="498"/>
      <c r="Q110" s="498"/>
      <c r="R110" s="499"/>
      <c r="S110" s="54"/>
      <c r="T110" s="54"/>
      <c r="W110" s="54"/>
      <c r="X110" s="54"/>
      <c r="Y110" s="54"/>
      <c r="AB110" s="54"/>
      <c r="AC110" s="54"/>
      <c r="AD110" s="54"/>
      <c r="AG110" s="54"/>
      <c r="AH110" s="54"/>
      <c r="AI110" s="54"/>
    </row>
    <row r="111" spans="1:35" x14ac:dyDescent="0.2">
      <c r="A111" s="79"/>
      <c r="R111" s="54"/>
      <c r="S111" s="54"/>
      <c r="T111" s="54"/>
      <c r="W111" s="54"/>
      <c r="X111" s="54"/>
      <c r="Y111" s="54"/>
      <c r="AB111" s="54"/>
      <c r="AC111" s="54"/>
      <c r="AD111" s="54"/>
      <c r="AG111" s="54"/>
      <c r="AH111" s="54"/>
      <c r="AI111" s="54"/>
    </row>
    <row r="112" spans="1:35" x14ac:dyDescent="0.2">
      <c r="R112" s="54"/>
      <c r="S112" s="54"/>
      <c r="T112" s="54"/>
      <c r="W112" s="54"/>
      <c r="X112" s="54"/>
      <c r="Y112" s="54"/>
      <c r="AB112" s="54"/>
      <c r="AC112" s="54"/>
      <c r="AD112" s="54"/>
      <c r="AG112" s="54"/>
      <c r="AH112" s="54"/>
      <c r="AI112" s="54"/>
    </row>
    <row r="113" spans="18:35" x14ac:dyDescent="0.2">
      <c r="R113" s="54"/>
      <c r="S113" s="54"/>
      <c r="T113" s="54"/>
      <c r="W113" s="54"/>
      <c r="X113" s="54"/>
      <c r="Y113" s="54"/>
      <c r="AB113" s="54"/>
      <c r="AC113" s="54"/>
      <c r="AD113" s="54"/>
      <c r="AG113" s="54"/>
      <c r="AH113" s="54"/>
      <c r="AI113" s="54"/>
    </row>
    <row r="114" spans="18:35" x14ac:dyDescent="0.2">
      <c r="R114" s="54"/>
      <c r="S114" s="54"/>
      <c r="T114" s="54"/>
      <c r="W114" s="54"/>
      <c r="X114" s="54"/>
      <c r="Y114" s="54"/>
      <c r="AB114" s="54"/>
      <c r="AC114" s="54"/>
      <c r="AD114" s="54"/>
      <c r="AG114" s="54"/>
      <c r="AH114" s="54"/>
      <c r="AI114" s="54"/>
    </row>
    <row r="115" spans="18:35" x14ac:dyDescent="0.2">
      <c r="R115" s="54"/>
      <c r="S115" s="54"/>
      <c r="T115" s="54"/>
      <c r="W115" s="54"/>
      <c r="X115" s="54"/>
      <c r="Y115" s="54"/>
      <c r="AB115" s="54"/>
      <c r="AC115" s="54"/>
      <c r="AD115" s="54"/>
      <c r="AG115" s="54"/>
      <c r="AH115" s="54"/>
      <c r="AI115" s="54"/>
    </row>
    <row r="116" spans="18:35" x14ac:dyDescent="0.2">
      <c r="R116" s="54"/>
      <c r="S116" s="54"/>
      <c r="T116" s="54"/>
      <c r="W116" s="54"/>
      <c r="X116" s="54"/>
      <c r="Y116" s="54"/>
      <c r="AB116" s="54"/>
      <c r="AC116" s="54"/>
      <c r="AD116" s="54"/>
      <c r="AG116" s="54"/>
      <c r="AH116" s="54"/>
      <c r="AI116" s="54"/>
    </row>
    <row r="117" spans="18:35" x14ac:dyDescent="0.2">
      <c r="R117" s="54"/>
      <c r="S117" s="54"/>
      <c r="T117" s="54"/>
      <c r="W117" s="54"/>
      <c r="X117" s="54"/>
      <c r="Y117" s="54"/>
      <c r="AB117" s="54"/>
      <c r="AC117" s="54"/>
      <c r="AD117" s="54"/>
      <c r="AG117" s="54"/>
      <c r="AH117" s="54"/>
      <c r="AI117" s="54"/>
    </row>
    <row r="118" spans="18:35" x14ac:dyDescent="0.2">
      <c r="R118" s="54"/>
      <c r="S118" s="54"/>
      <c r="T118" s="54"/>
      <c r="W118" s="54"/>
      <c r="X118" s="54"/>
      <c r="Y118" s="54"/>
      <c r="AB118" s="54"/>
      <c r="AC118" s="54"/>
      <c r="AD118" s="54"/>
      <c r="AG118" s="54"/>
      <c r="AH118" s="54"/>
      <c r="AI118" s="54"/>
    </row>
    <row r="119" spans="18:35" x14ac:dyDescent="0.2">
      <c r="R119" s="54"/>
      <c r="S119" s="54"/>
      <c r="T119" s="54"/>
      <c r="W119" s="54"/>
      <c r="X119" s="54"/>
      <c r="Y119" s="54"/>
      <c r="AB119" s="54"/>
      <c r="AC119" s="54"/>
      <c r="AD119" s="54"/>
      <c r="AG119" s="54"/>
      <c r="AH119" s="54"/>
      <c r="AI119" s="54"/>
    </row>
    <row r="120" spans="18:35" x14ac:dyDescent="0.2">
      <c r="R120" s="54"/>
      <c r="S120" s="54"/>
      <c r="T120" s="54"/>
      <c r="W120" s="54"/>
      <c r="X120" s="54"/>
      <c r="Y120" s="54"/>
      <c r="AB120" s="54"/>
      <c r="AC120" s="54"/>
      <c r="AD120" s="54"/>
      <c r="AG120" s="54"/>
      <c r="AH120" s="54"/>
      <c r="AI120" s="54"/>
    </row>
    <row r="121" spans="18:35" x14ac:dyDescent="0.2">
      <c r="R121" s="54"/>
      <c r="S121" s="54"/>
      <c r="T121" s="54"/>
      <c r="W121" s="54"/>
      <c r="X121" s="54"/>
      <c r="Y121" s="54"/>
      <c r="AB121" s="54"/>
      <c r="AC121" s="54"/>
      <c r="AD121" s="54"/>
      <c r="AG121" s="54"/>
      <c r="AH121" s="54"/>
      <c r="AI121" s="54"/>
    </row>
    <row r="122" spans="18:35" x14ac:dyDescent="0.2">
      <c r="R122" s="54"/>
      <c r="S122" s="54"/>
      <c r="T122" s="54"/>
      <c r="W122" s="54"/>
      <c r="X122" s="54"/>
      <c r="Y122" s="54"/>
      <c r="AB122" s="54"/>
      <c r="AC122" s="54"/>
      <c r="AD122" s="54"/>
      <c r="AG122" s="54"/>
      <c r="AH122" s="54"/>
      <c r="AI122" s="54"/>
    </row>
    <row r="123" spans="18:35" x14ac:dyDescent="0.2">
      <c r="R123" s="54"/>
      <c r="S123" s="54"/>
      <c r="T123" s="54"/>
      <c r="W123" s="54"/>
      <c r="X123" s="54"/>
      <c r="Y123" s="54"/>
      <c r="AB123" s="54"/>
      <c r="AC123" s="54"/>
      <c r="AD123" s="54"/>
      <c r="AG123" s="54"/>
      <c r="AH123" s="54"/>
      <c r="AI123" s="54"/>
    </row>
    <row r="124" spans="18:35" x14ac:dyDescent="0.2">
      <c r="R124" s="54"/>
      <c r="S124" s="54"/>
      <c r="T124" s="54"/>
      <c r="W124" s="54"/>
      <c r="X124" s="54"/>
      <c r="Y124" s="54"/>
      <c r="AB124" s="54"/>
      <c r="AC124" s="54"/>
      <c r="AD124" s="54"/>
      <c r="AG124" s="54"/>
      <c r="AH124" s="54"/>
      <c r="AI124" s="54"/>
    </row>
    <row r="125" spans="18:35" x14ac:dyDescent="0.2">
      <c r="R125" s="54"/>
      <c r="S125" s="54"/>
      <c r="T125" s="54"/>
      <c r="W125" s="54"/>
      <c r="X125" s="54"/>
      <c r="Y125" s="54"/>
      <c r="AB125" s="54"/>
      <c r="AC125" s="54"/>
      <c r="AD125" s="54"/>
      <c r="AG125" s="54"/>
      <c r="AH125" s="54"/>
      <c r="AI125" s="54"/>
    </row>
    <row r="126" spans="18:35" x14ac:dyDescent="0.2">
      <c r="R126" s="54"/>
      <c r="S126" s="54"/>
      <c r="T126" s="54"/>
      <c r="W126" s="54"/>
      <c r="X126" s="54"/>
      <c r="Y126" s="54"/>
      <c r="AB126" s="54"/>
      <c r="AC126" s="54"/>
      <c r="AD126" s="54"/>
      <c r="AG126" s="54"/>
      <c r="AH126" s="54"/>
      <c r="AI126" s="54"/>
    </row>
    <row r="127" spans="18:35" x14ac:dyDescent="0.2">
      <c r="R127" s="54"/>
      <c r="S127" s="54"/>
      <c r="T127" s="54"/>
      <c r="W127" s="54"/>
      <c r="X127" s="54"/>
      <c r="Y127" s="54"/>
      <c r="AB127" s="54"/>
      <c r="AC127" s="54"/>
      <c r="AD127" s="54"/>
      <c r="AG127" s="54"/>
      <c r="AH127" s="54"/>
      <c r="AI127" s="54"/>
    </row>
    <row r="128" spans="18:35" x14ac:dyDescent="0.2">
      <c r="R128" s="54"/>
      <c r="S128" s="54"/>
      <c r="T128" s="54"/>
      <c r="W128" s="54"/>
      <c r="X128" s="54"/>
      <c r="Y128" s="54"/>
      <c r="AB128" s="54"/>
      <c r="AC128" s="54"/>
      <c r="AD128" s="54"/>
      <c r="AG128" s="54"/>
      <c r="AH128" s="54"/>
      <c r="AI128" s="54"/>
    </row>
    <row r="129" spans="18:35" x14ac:dyDescent="0.2">
      <c r="R129" s="54"/>
      <c r="S129" s="54"/>
      <c r="T129" s="54"/>
      <c r="W129" s="54"/>
      <c r="X129" s="54"/>
      <c r="Y129" s="54"/>
      <c r="AB129" s="54"/>
      <c r="AC129" s="54"/>
      <c r="AD129" s="54"/>
      <c r="AG129" s="54"/>
      <c r="AH129" s="54"/>
      <c r="AI129" s="54"/>
    </row>
    <row r="130" spans="18:35" x14ac:dyDescent="0.2">
      <c r="R130" s="54"/>
      <c r="S130" s="54"/>
      <c r="T130" s="54"/>
      <c r="W130" s="54"/>
      <c r="X130" s="54"/>
      <c r="Y130" s="54"/>
      <c r="AB130" s="54"/>
      <c r="AC130" s="54"/>
      <c r="AD130" s="54"/>
      <c r="AG130" s="54"/>
      <c r="AH130" s="54"/>
      <c r="AI130" s="54"/>
    </row>
    <row r="131" spans="18:35" x14ac:dyDescent="0.2">
      <c r="R131" s="54"/>
      <c r="S131" s="54"/>
      <c r="T131" s="54"/>
      <c r="W131" s="54"/>
      <c r="X131" s="54"/>
      <c r="Y131" s="54"/>
      <c r="AB131" s="54"/>
      <c r="AC131" s="54"/>
      <c r="AD131" s="54"/>
      <c r="AG131" s="54"/>
      <c r="AH131" s="54"/>
      <c r="AI131" s="54"/>
    </row>
    <row r="132" spans="18:35" x14ac:dyDescent="0.2">
      <c r="R132" s="54"/>
      <c r="S132" s="54"/>
      <c r="T132" s="54"/>
      <c r="W132" s="54"/>
      <c r="X132" s="54"/>
      <c r="Y132" s="54"/>
      <c r="AB132" s="54"/>
      <c r="AC132" s="54"/>
      <c r="AD132" s="54"/>
      <c r="AG132" s="54"/>
      <c r="AH132" s="54"/>
      <c r="AI132" s="54"/>
    </row>
    <row r="133" spans="18:35" x14ac:dyDescent="0.2">
      <c r="R133" s="54"/>
      <c r="S133" s="54"/>
      <c r="T133" s="54"/>
      <c r="W133" s="54"/>
      <c r="X133" s="54"/>
      <c r="Y133" s="54"/>
      <c r="AB133" s="54"/>
      <c r="AC133" s="54"/>
      <c r="AD133" s="54"/>
      <c r="AG133" s="54"/>
      <c r="AH133" s="54"/>
      <c r="AI133" s="54"/>
    </row>
    <row r="134" spans="18:35" x14ac:dyDescent="0.2">
      <c r="R134" s="54"/>
      <c r="S134" s="54"/>
      <c r="T134" s="54"/>
      <c r="W134" s="54"/>
      <c r="X134" s="54"/>
      <c r="Y134" s="54"/>
      <c r="AB134" s="54"/>
      <c r="AC134" s="54"/>
      <c r="AD134" s="54"/>
      <c r="AG134" s="54"/>
      <c r="AH134" s="54"/>
      <c r="AI134" s="54"/>
    </row>
    <row r="135" spans="18:35" x14ac:dyDescent="0.2">
      <c r="R135" s="54"/>
      <c r="S135" s="54"/>
      <c r="T135" s="54"/>
      <c r="W135" s="54"/>
      <c r="X135" s="54"/>
      <c r="Y135" s="54"/>
      <c r="AB135" s="54"/>
      <c r="AC135" s="54"/>
      <c r="AD135" s="54"/>
      <c r="AG135" s="54"/>
      <c r="AH135" s="54"/>
      <c r="AI135" s="54"/>
    </row>
    <row r="136" spans="18:35" x14ac:dyDescent="0.2">
      <c r="R136" s="54"/>
      <c r="S136" s="54"/>
      <c r="T136" s="54"/>
      <c r="W136" s="54"/>
      <c r="X136" s="54"/>
      <c r="Y136" s="54"/>
      <c r="AB136" s="54"/>
      <c r="AC136" s="54"/>
      <c r="AD136" s="54"/>
      <c r="AG136" s="54"/>
      <c r="AH136" s="54"/>
      <c r="AI136" s="54"/>
    </row>
    <row r="137" spans="18:35" x14ac:dyDescent="0.2">
      <c r="R137" s="54"/>
      <c r="S137" s="54"/>
      <c r="T137" s="54"/>
      <c r="W137" s="54"/>
      <c r="X137" s="54"/>
      <c r="Y137" s="54"/>
      <c r="AB137" s="54"/>
      <c r="AC137" s="54"/>
      <c r="AD137" s="54"/>
      <c r="AG137" s="54"/>
      <c r="AH137" s="54"/>
      <c r="AI137" s="54"/>
    </row>
    <row r="138" spans="18:35" x14ac:dyDescent="0.2">
      <c r="R138" s="54"/>
      <c r="S138" s="54"/>
      <c r="T138" s="54"/>
      <c r="W138" s="54"/>
      <c r="X138" s="54"/>
      <c r="Y138" s="54"/>
      <c r="AB138" s="54"/>
      <c r="AC138" s="54"/>
      <c r="AD138" s="54"/>
      <c r="AG138" s="54"/>
      <c r="AH138" s="54"/>
      <c r="AI138" s="54"/>
    </row>
    <row r="139" spans="18:35" x14ac:dyDescent="0.2">
      <c r="R139" s="54"/>
      <c r="S139" s="54"/>
      <c r="T139" s="54"/>
      <c r="W139" s="54"/>
      <c r="X139" s="54"/>
      <c r="Y139" s="54"/>
      <c r="AB139" s="54"/>
      <c r="AC139" s="54"/>
      <c r="AD139" s="54"/>
      <c r="AG139" s="54"/>
      <c r="AH139" s="54"/>
      <c r="AI139" s="54"/>
    </row>
    <row r="140" spans="18:35" x14ac:dyDescent="0.2">
      <c r="R140" s="54"/>
      <c r="S140" s="54"/>
      <c r="T140" s="54"/>
      <c r="W140" s="54"/>
      <c r="X140" s="54"/>
      <c r="Y140" s="54"/>
      <c r="AB140" s="54"/>
      <c r="AC140" s="54"/>
      <c r="AD140" s="54"/>
      <c r="AG140" s="54"/>
      <c r="AH140" s="54"/>
      <c r="AI140" s="54"/>
    </row>
    <row r="141" spans="18:35" x14ac:dyDescent="0.2">
      <c r="R141" s="54"/>
      <c r="S141" s="54"/>
      <c r="T141" s="54"/>
      <c r="W141" s="54"/>
      <c r="X141" s="54"/>
      <c r="Y141" s="54"/>
      <c r="AB141" s="54"/>
      <c r="AC141" s="54"/>
      <c r="AD141" s="54"/>
      <c r="AG141" s="54"/>
      <c r="AH141" s="54"/>
      <c r="AI141" s="54"/>
    </row>
    <row r="142" spans="18:35" x14ac:dyDescent="0.2">
      <c r="R142" s="54"/>
      <c r="S142" s="54"/>
      <c r="T142" s="54"/>
      <c r="W142" s="54"/>
      <c r="X142" s="54"/>
      <c r="Y142" s="54"/>
      <c r="AB142" s="54"/>
      <c r="AC142" s="54"/>
      <c r="AD142" s="54"/>
      <c r="AG142" s="54"/>
      <c r="AH142" s="54"/>
      <c r="AI142" s="54"/>
    </row>
    <row r="143" spans="18:35" x14ac:dyDescent="0.2">
      <c r="R143" s="54"/>
      <c r="S143" s="54"/>
      <c r="T143" s="54"/>
      <c r="W143" s="54"/>
      <c r="X143" s="54"/>
      <c r="Y143" s="54"/>
      <c r="AB143" s="54"/>
      <c r="AC143" s="54"/>
      <c r="AD143" s="54"/>
      <c r="AG143" s="54"/>
      <c r="AH143" s="54"/>
      <c r="AI143" s="54"/>
    </row>
    <row r="144" spans="18:35" x14ac:dyDescent="0.2">
      <c r="R144" s="54"/>
      <c r="S144" s="54"/>
      <c r="T144" s="54"/>
      <c r="W144" s="54"/>
      <c r="X144" s="54"/>
      <c r="Y144" s="54"/>
      <c r="AB144" s="54"/>
      <c r="AC144" s="54"/>
      <c r="AD144" s="54"/>
      <c r="AG144" s="54"/>
      <c r="AH144" s="54"/>
      <c r="AI144" s="54"/>
    </row>
    <row r="145" spans="18:35" x14ac:dyDescent="0.2">
      <c r="R145" s="54"/>
      <c r="S145" s="54"/>
      <c r="T145" s="54"/>
      <c r="W145" s="54"/>
      <c r="X145" s="54"/>
      <c r="Y145" s="54"/>
      <c r="AB145" s="54"/>
      <c r="AC145" s="54"/>
      <c r="AD145" s="54"/>
      <c r="AG145" s="54"/>
      <c r="AH145" s="54"/>
      <c r="AI145" s="54"/>
    </row>
    <row r="146" spans="18:35" x14ac:dyDescent="0.2">
      <c r="R146" s="54"/>
      <c r="S146" s="54"/>
      <c r="T146" s="54"/>
      <c r="W146" s="54"/>
      <c r="X146" s="54"/>
      <c r="Y146" s="54"/>
      <c r="AB146" s="54"/>
      <c r="AC146" s="54"/>
      <c r="AD146" s="54"/>
      <c r="AG146" s="54"/>
      <c r="AH146" s="54"/>
      <c r="AI146" s="54"/>
    </row>
    <row r="147" spans="18:35" x14ac:dyDescent="0.2">
      <c r="R147" s="54"/>
      <c r="S147" s="54"/>
      <c r="T147" s="54"/>
      <c r="W147" s="54"/>
      <c r="X147" s="54"/>
      <c r="Y147" s="54"/>
      <c r="AB147" s="54"/>
      <c r="AC147" s="54"/>
      <c r="AD147" s="54"/>
      <c r="AG147" s="54"/>
      <c r="AH147" s="54"/>
      <c r="AI147" s="54"/>
    </row>
    <row r="148" spans="18:35" x14ac:dyDescent="0.2">
      <c r="R148" s="54"/>
      <c r="S148" s="54"/>
      <c r="T148" s="54"/>
      <c r="W148" s="54"/>
      <c r="X148" s="54"/>
      <c r="Y148" s="54"/>
      <c r="AB148" s="54"/>
      <c r="AC148" s="54"/>
      <c r="AD148" s="54"/>
      <c r="AG148" s="54"/>
      <c r="AH148" s="54"/>
      <c r="AI148" s="54"/>
    </row>
    <row r="149" spans="18:35" x14ac:dyDescent="0.2">
      <c r="R149" s="54"/>
      <c r="S149" s="54"/>
      <c r="T149" s="54"/>
      <c r="W149" s="54"/>
      <c r="X149" s="54"/>
      <c r="Y149" s="54"/>
      <c r="AB149" s="54"/>
      <c r="AC149" s="54"/>
      <c r="AD149" s="54"/>
      <c r="AG149" s="54"/>
      <c r="AH149" s="54"/>
      <c r="AI149" s="54"/>
    </row>
    <row r="150" spans="18:35" x14ac:dyDescent="0.2">
      <c r="R150" s="54"/>
      <c r="S150" s="54"/>
      <c r="T150" s="54"/>
      <c r="W150" s="54"/>
      <c r="X150" s="54"/>
      <c r="Y150" s="54"/>
      <c r="AB150" s="54"/>
      <c r="AC150" s="54"/>
      <c r="AD150" s="54"/>
      <c r="AG150" s="54"/>
      <c r="AH150" s="54"/>
      <c r="AI150" s="54"/>
    </row>
    <row r="151" spans="18:35" x14ac:dyDescent="0.2">
      <c r="R151" s="54"/>
      <c r="S151" s="54"/>
      <c r="T151" s="54"/>
      <c r="W151" s="54"/>
      <c r="X151" s="54"/>
      <c r="Y151" s="54"/>
      <c r="AB151" s="54"/>
      <c r="AC151" s="54"/>
      <c r="AD151" s="54"/>
      <c r="AG151" s="54"/>
      <c r="AH151" s="54"/>
      <c r="AI151" s="54"/>
    </row>
    <row r="152" spans="18:35" x14ac:dyDescent="0.2">
      <c r="R152" s="54"/>
      <c r="S152" s="54"/>
      <c r="T152" s="54"/>
      <c r="W152" s="54"/>
      <c r="X152" s="54"/>
      <c r="Y152" s="54"/>
      <c r="AB152" s="54"/>
      <c r="AC152" s="54"/>
      <c r="AD152" s="54"/>
      <c r="AG152" s="54"/>
      <c r="AH152" s="54"/>
      <c r="AI152" s="54"/>
    </row>
    <row r="153" spans="18:35" x14ac:dyDescent="0.2">
      <c r="R153" s="54"/>
      <c r="S153" s="54"/>
      <c r="T153" s="54"/>
      <c r="W153" s="54"/>
      <c r="X153" s="54"/>
      <c r="Y153" s="54"/>
      <c r="AB153" s="54"/>
      <c r="AC153" s="54"/>
      <c r="AD153" s="54"/>
      <c r="AG153" s="54"/>
      <c r="AH153" s="54"/>
      <c r="AI153" s="54"/>
    </row>
    <row r="154" spans="18:35" x14ac:dyDescent="0.2">
      <c r="R154" s="54"/>
      <c r="S154" s="54"/>
      <c r="T154" s="54"/>
      <c r="W154" s="54"/>
      <c r="X154" s="54"/>
      <c r="Y154" s="54"/>
      <c r="AB154" s="54"/>
      <c r="AC154" s="54"/>
      <c r="AD154" s="54"/>
      <c r="AG154" s="54"/>
      <c r="AH154" s="54"/>
      <c r="AI154" s="54"/>
    </row>
    <row r="155" spans="18:35" x14ac:dyDescent="0.2">
      <c r="R155" s="54"/>
      <c r="S155" s="54"/>
      <c r="T155" s="54"/>
      <c r="W155" s="54"/>
      <c r="X155" s="54"/>
      <c r="Y155" s="54"/>
      <c r="AB155" s="54"/>
      <c r="AC155" s="54"/>
      <c r="AD155" s="54"/>
      <c r="AG155" s="54"/>
      <c r="AH155" s="54"/>
      <c r="AI155" s="54"/>
    </row>
    <row r="156" spans="18:35" x14ac:dyDescent="0.2">
      <c r="R156" s="54"/>
      <c r="S156" s="54"/>
      <c r="T156" s="54"/>
      <c r="W156" s="54"/>
      <c r="X156" s="54"/>
      <c r="Y156" s="54"/>
      <c r="AB156" s="54"/>
      <c r="AC156" s="54"/>
      <c r="AD156" s="54"/>
      <c r="AG156" s="54"/>
      <c r="AH156" s="54"/>
      <c r="AI156" s="54"/>
    </row>
    <row r="157" spans="18:35" x14ac:dyDescent="0.2">
      <c r="R157" s="54"/>
      <c r="S157" s="54"/>
      <c r="T157" s="54"/>
      <c r="W157" s="54"/>
      <c r="X157" s="54"/>
      <c r="Y157" s="54"/>
      <c r="AB157" s="54"/>
      <c r="AC157" s="54"/>
      <c r="AD157" s="54"/>
      <c r="AG157" s="54"/>
      <c r="AH157" s="54"/>
      <c r="AI157" s="54"/>
    </row>
    <row r="158" spans="18:35" x14ac:dyDescent="0.2">
      <c r="R158" s="54"/>
      <c r="S158" s="54"/>
      <c r="T158" s="54"/>
      <c r="W158" s="54"/>
      <c r="X158" s="54"/>
      <c r="Y158" s="54"/>
      <c r="AB158" s="54"/>
      <c r="AC158" s="54"/>
      <c r="AD158" s="54"/>
      <c r="AG158" s="54"/>
      <c r="AH158" s="54"/>
      <c r="AI158" s="54"/>
    </row>
    <row r="159" spans="18:35" x14ac:dyDescent="0.2">
      <c r="R159" s="54"/>
      <c r="S159" s="54"/>
      <c r="T159" s="54"/>
      <c r="W159" s="54"/>
      <c r="X159" s="54"/>
      <c r="Y159" s="54"/>
      <c r="AB159" s="54"/>
      <c r="AC159" s="54"/>
      <c r="AD159" s="54"/>
      <c r="AG159" s="54"/>
      <c r="AH159" s="54"/>
      <c r="AI159" s="54"/>
    </row>
    <row r="160" spans="18:35" x14ac:dyDescent="0.2">
      <c r="R160" s="54"/>
      <c r="S160" s="54"/>
      <c r="T160" s="54"/>
      <c r="W160" s="54"/>
      <c r="X160" s="54"/>
      <c r="Y160" s="54"/>
      <c r="AB160" s="54"/>
      <c r="AC160" s="54"/>
      <c r="AD160" s="54"/>
      <c r="AG160" s="54"/>
      <c r="AH160" s="54"/>
      <c r="AI160" s="54"/>
    </row>
    <row r="161" spans="18:35" x14ac:dyDescent="0.2">
      <c r="R161" s="54"/>
      <c r="S161" s="54"/>
      <c r="T161" s="54"/>
      <c r="W161" s="54"/>
      <c r="X161" s="54"/>
      <c r="Y161" s="54"/>
      <c r="AB161" s="54"/>
      <c r="AC161" s="54"/>
      <c r="AD161" s="54"/>
      <c r="AG161" s="54"/>
      <c r="AH161" s="54"/>
      <c r="AI161" s="54"/>
    </row>
    <row r="162" spans="18:35" x14ac:dyDescent="0.2">
      <c r="R162" s="54"/>
      <c r="S162" s="54"/>
      <c r="T162" s="54"/>
      <c r="W162" s="54"/>
      <c r="X162" s="54"/>
      <c r="Y162" s="54"/>
      <c r="AB162" s="54"/>
      <c r="AC162" s="54"/>
      <c r="AD162" s="54"/>
      <c r="AG162" s="54"/>
      <c r="AH162" s="54"/>
      <c r="AI162" s="54"/>
    </row>
    <row r="163" spans="18:35" x14ac:dyDescent="0.2">
      <c r="R163" s="54"/>
      <c r="S163" s="54"/>
      <c r="T163" s="54"/>
      <c r="W163" s="54"/>
      <c r="X163" s="54"/>
      <c r="Y163" s="54"/>
      <c r="AB163" s="54"/>
      <c r="AC163" s="54"/>
      <c r="AD163" s="54"/>
      <c r="AG163" s="54"/>
      <c r="AH163" s="54"/>
      <c r="AI163" s="54"/>
    </row>
    <row r="164" spans="18:35" x14ac:dyDescent="0.2">
      <c r="R164" s="54"/>
      <c r="S164" s="54"/>
      <c r="T164" s="54"/>
      <c r="W164" s="54"/>
      <c r="X164" s="54"/>
      <c r="Y164" s="54"/>
      <c r="AB164" s="54"/>
      <c r="AC164" s="54"/>
      <c r="AD164" s="54"/>
      <c r="AG164" s="54"/>
      <c r="AH164" s="54"/>
      <c r="AI164" s="54"/>
    </row>
    <row r="165" spans="18:35" x14ac:dyDescent="0.2">
      <c r="R165" s="54"/>
      <c r="S165" s="54"/>
      <c r="T165" s="54"/>
      <c r="W165" s="54"/>
      <c r="X165" s="54"/>
      <c r="Y165" s="54"/>
      <c r="AB165" s="54"/>
      <c r="AC165" s="54"/>
      <c r="AD165" s="54"/>
      <c r="AG165" s="54"/>
      <c r="AH165" s="54"/>
      <c r="AI165" s="54"/>
    </row>
    <row r="166" spans="18:35" x14ac:dyDescent="0.2">
      <c r="R166" s="54"/>
      <c r="S166" s="54"/>
      <c r="T166" s="54"/>
      <c r="W166" s="54"/>
      <c r="X166" s="54"/>
      <c r="Y166" s="54"/>
      <c r="AB166" s="54"/>
      <c r="AC166" s="54"/>
      <c r="AD166" s="54"/>
      <c r="AG166" s="54"/>
      <c r="AH166" s="54"/>
      <c r="AI166" s="54"/>
    </row>
    <row r="167" spans="18:35" x14ac:dyDescent="0.2">
      <c r="R167" s="54"/>
      <c r="S167" s="54"/>
      <c r="T167" s="54"/>
      <c r="W167" s="54"/>
      <c r="X167" s="54"/>
      <c r="Y167" s="54"/>
      <c r="AB167" s="54"/>
      <c r="AC167" s="54"/>
      <c r="AD167" s="54"/>
      <c r="AG167" s="54"/>
      <c r="AH167" s="54"/>
      <c r="AI167" s="54"/>
    </row>
    <row r="168" spans="18:35" x14ac:dyDescent="0.2">
      <c r="R168" s="54"/>
      <c r="S168" s="54"/>
      <c r="T168" s="54"/>
      <c r="W168" s="54"/>
      <c r="X168" s="54"/>
      <c r="Y168" s="54"/>
      <c r="AB168" s="54"/>
      <c r="AC168" s="54"/>
      <c r="AD168" s="54"/>
      <c r="AG168" s="54"/>
      <c r="AH168" s="54"/>
      <c r="AI168" s="54"/>
    </row>
    <row r="169" spans="18:35" x14ac:dyDescent="0.2">
      <c r="R169" s="54"/>
      <c r="S169" s="54"/>
      <c r="T169" s="54"/>
      <c r="W169" s="54"/>
      <c r="X169" s="54"/>
      <c r="Y169" s="54"/>
      <c r="AB169" s="54"/>
      <c r="AC169" s="54"/>
      <c r="AD169" s="54"/>
      <c r="AG169" s="54"/>
      <c r="AH169" s="54"/>
      <c r="AI169" s="54"/>
    </row>
    <row r="170" spans="18:35" x14ac:dyDescent="0.2">
      <c r="R170" s="54"/>
      <c r="S170" s="54"/>
      <c r="T170" s="54"/>
      <c r="W170" s="54"/>
      <c r="X170" s="54"/>
      <c r="Y170" s="54"/>
      <c r="AB170" s="54"/>
      <c r="AC170" s="54"/>
      <c r="AD170" s="54"/>
      <c r="AG170" s="54"/>
      <c r="AH170" s="54"/>
      <c r="AI170" s="54"/>
    </row>
    <row r="171" spans="18:35" x14ac:dyDescent="0.2">
      <c r="R171" s="54"/>
      <c r="S171" s="54"/>
      <c r="T171" s="54"/>
      <c r="W171" s="54"/>
      <c r="X171" s="54"/>
      <c r="Y171" s="54"/>
      <c r="AB171" s="54"/>
      <c r="AC171" s="54"/>
      <c r="AD171" s="54"/>
      <c r="AG171" s="54"/>
      <c r="AH171" s="54"/>
      <c r="AI171" s="54"/>
    </row>
    <row r="172" spans="18:35" x14ac:dyDescent="0.2">
      <c r="R172" s="54"/>
      <c r="S172" s="54"/>
      <c r="T172" s="54"/>
      <c r="W172" s="54"/>
      <c r="X172" s="54"/>
      <c r="Y172" s="54"/>
      <c r="AB172" s="54"/>
      <c r="AC172" s="54"/>
      <c r="AD172" s="54"/>
      <c r="AG172" s="54"/>
      <c r="AH172" s="54"/>
      <c r="AI172" s="54"/>
    </row>
    <row r="173" spans="18:35" x14ac:dyDescent="0.2">
      <c r="R173" s="54"/>
      <c r="S173" s="54"/>
      <c r="T173" s="54"/>
      <c r="W173" s="54"/>
      <c r="X173" s="54"/>
      <c r="Y173" s="54"/>
      <c r="AB173" s="54"/>
      <c r="AC173" s="54"/>
      <c r="AD173" s="54"/>
      <c r="AG173" s="54"/>
      <c r="AH173" s="54"/>
      <c r="AI173" s="54"/>
    </row>
    <row r="174" spans="18:35" x14ac:dyDescent="0.2">
      <c r="R174" s="54"/>
      <c r="S174" s="54"/>
      <c r="T174" s="54"/>
      <c r="W174" s="54"/>
      <c r="X174" s="54"/>
      <c r="Y174" s="54"/>
      <c r="AB174" s="54"/>
      <c r="AC174" s="54"/>
      <c r="AD174" s="54"/>
      <c r="AG174" s="54"/>
      <c r="AH174" s="54"/>
      <c r="AI174" s="54"/>
    </row>
    <row r="175" spans="18:35" x14ac:dyDescent="0.2">
      <c r="R175" s="54"/>
      <c r="S175" s="54"/>
      <c r="T175" s="54"/>
      <c r="W175" s="54"/>
      <c r="X175" s="54"/>
      <c r="Y175" s="54"/>
      <c r="AB175" s="54"/>
      <c r="AC175" s="54"/>
      <c r="AD175" s="54"/>
      <c r="AG175" s="54"/>
      <c r="AH175" s="54"/>
      <c r="AI175" s="54"/>
    </row>
    <row r="176" spans="18:35" x14ac:dyDescent="0.2">
      <c r="R176" s="54"/>
      <c r="S176" s="54"/>
      <c r="T176" s="54"/>
      <c r="W176" s="54"/>
      <c r="X176" s="54"/>
      <c r="Y176" s="54"/>
      <c r="AB176" s="54"/>
      <c r="AC176" s="54"/>
      <c r="AD176" s="54"/>
      <c r="AG176" s="54"/>
      <c r="AH176" s="54"/>
      <c r="AI176" s="54"/>
    </row>
    <row r="177" spans="18:35" x14ac:dyDescent="0.2">
      <c r="R177" s="54"/>
      <c r="S177" s="54"/>
      <c r="T177" s="54"/>
      <c r="W177" s="54"/>
      <c r="X177" s="54"/>
      <c r="Y177" s="54"/>
      <c r="AB177" s="54"/>
      <c r="AC177" s="54"/>
      <c r="AD177" s="54"/>
      <c r="AG177" s="54"/>
      <c r="AH177" s="54"/>
      <c r="AI177" s="54"/>
    </row>
    <row r="178" spans="18:35" x14ac:dyDescent="0.2">
      <c r="R178" s="54"/>
      <c r="S178" s="54"/>
      <c r="T178" s="54"/>
      <c r="W178" s="54"/>
      <c r="X178" s="54"/>
      <c r="Y178" s="54"/>
      <c r="AB178" s="54"/>
      <c r="AC178" s="54"/>
      <c r="AD178" s="54"/>
      <c r="AG178" s="54"/>
      <c r="AH178" s="54"/>
      <c r="AI178" s="54"/>
    </row>
    <row r="179" spans="18:35" x14ac:dyDescent="0.2">
      <c r="R179" s="54"/>
      <c r="S179" s="54"/>
      <c r="T179" s="54"/>
      <c r="W179" s="54"/>
      <c r="X179" s="54"/>
      <c r="Y179" s="54"/>
      <c r="AB179" s="54"/>
      <c r="AC179" s="54"/>
      <c r="AD179" s="54"/>
      <c r="AG179" s="54"/>
      <c r="AH179" s="54"/>
      <c r="AI179" s="54"/>
    </row>
    <row r="180" spans="18:35" x14ac:dyDescent="0.2">
      <c r="R180" s="54"/>
      <c r="S180" s="54"/>
      <c r="T180" s="54"/>
      <c r="W180" s="54"/>
      <c r="X180" s="54"/>
      <c r="Y180" s="54"/>
      <c r="AB180" s="54"/>
      <c r="AC180" s="54"/>
      <c r="AD180" s="54"/>
      <c r="AG180" s="54"/>
      <c r="AH180" s="54"/>
      <c r="AI180" s="54"/>
    </row>
    <row r="181" spans="18:35" x14ac:dyDescent="0.2">
      <c r="R181" s="54"/>
      <c r="S181" s="54"/>
      <c r="T181" s="54"/>
      <c r="W181" s="54"/>
      <c r="X181" s="54"/>
      <c r="Y181" s="54"/>
      <c r="AB181" s="54"/>
      <c r="AC181" s="54"/>
      <c r="AD181" s="54"/>
      <c r="AG181" s="54"/>
      <c r="AH181" s="54"/>
      <c r="AI181" s="54"/>
    </row>
    <row r="182" spans="18:35" x14ac:dyDescent="0.2">
      <c r="R182" s="54"/>
      <c r="S182" s="54"/>
      <c r="T182" s="54"/>
      <c r="W182" s="54"/>
      <c r="X182" s="54"/>
      <c r="Y182" s="54"/>
      <c r="AB182" s="54"/>
      <c r="AC182" s="54"/>
      <c r="AD182" s="54"/>
      <c r="AG182" s="54"/>
      <c r="AH182" s="54"/>
      <c r="AI182" s="54"/>
    </row>
    <row r="183" spans="18:35" x14ac:dyDescent="0.2">
      <c r="R183" s="54"/>
      <c r="S183" s="54"/>
      <c r="T183" s="54"/>
      <c r="W183" s="54"/>
      <c r="X183" s="54"/>
      <c r="Y183" s="54"/>
      <c r="AB183" s="54"/>
      <c r="AC183" s="54"/>
      <c r="AD183" s="54"/>
      <c r="AG183" s="54"/>
      <c r="AH183" s="54"/>
      <c r="AI183" s="54"/>
    </row>
    <row r="184" spans="18:35" x14ac:dyDescent="0.2">
      <c r="R184" s="54"/>
      <c r="S184" s="54"/>
      <c r="T184" s="54"/>
      <c r="W184" s="54"/>
      <c r="X184" s="54"/>
      <c r="Y184" s="54"/>
      <c r="AB184" s="54"/>
      <c r="AC184" s="54"/>
      <c r="AD184" s="54"/>
      <c r="AG184" s="54"/>
      <c r="AH184" s="54"/>
      <c r="AI184" s="54"/>
    </row>
    <row r="185" spans="18:35" x14ac:dyDescent="0.2">
      <c r="R185" s="54"/>
      <c r="S185" s="54"/>
      <c r="T185" s="54"/>
      <c r="W185" s="54"/>
      <c r="X185" s="54"/>
      <c r="Y185" s="54"/>
      <c r="AB185" s="54"/>
      <c r="AC185" s="54"/>
      <c r="AD185" s="54"/>
      <c r="AG185" s="54"/>
      <c r="AH185" s="54"/>
      <c r="AI185" s="54"/>
    </row>
    <row r="186" spans="18:35" x14ac:dyDescent="0.2">
      <c r="R186" s="54"/>
      <c r="S186" s="54"/>
      <c r="T186" s="54"/>
      <c r="W186" s="54"/>
      <c r="X186" s="54"/>
      <c r="Y186" s="54"/>
      <c r="AB186" s="54"/>
      <c r="AC186" s="54"/>
      <c r="AD186" s="54"/>
      <c r="AG186" s="54"/>
      <c r="AH186" s="54"/>
      <c r="AI186" s="54"/>
    </row>
    <row r="187" spans="18:35" x14ac:dyDescent="0.2">
      <c r="R187" s="54"/>
      <c r="S187" s="54"/>
      <c r="T187" s="54"/>
      <c r="W187" s="54"/>
      <c r="X187" s="54"/>
      <c r="Y187" s="54"/>
      <c r="AB187" s="54"/>
      <c r="AC187" s="54"/>
      <c r="AD187" s="54"/>
      <c r="AG187" s="54"/>
      <c r="AH187" s="54"/>
      <c r="AI187" s="54"/>
    </row>
    <row r="188" spans="18:35" x14ac:dyDescent="0.2">
      <c r="R188" s="54"/>
      <c r="S188" s="54"/>
      <c r="T188" s="54"/>
      <c r="W188" s="54"/>
      <c r="X188" s="54"/>
      <c r="Y188" s="54"/>
      <c r="AB188" s="54"/>
      <c r="AC188" s="54"/>
      <c r="AD188" s="54"/>
      <c r="AG188" s="54"/>
      <c r="AH188" s="54"/>
      <c r="AI188" s="54"/>
    </row>
    <row r="189" spans="18:35" x14ac:dyDescent="0.2">
      <c r="R189" s="54"/>
      <c r="S189" s="54"/>
      <c r="T189" s="54"/>
      <c r="W189" s="54"/>
      <c r="X189" s="54"/>
      <c r="Y189" s="54"/>
      <c r="AB189" s="54"/>
      <c r="AC189" s="54"/>
      <c r="AD189" s="54"/>
      <c r="AG189" s="54"/>
      <c r="AH189" s="54"/>
      <c r="AI189" s="54"/>
    </row>
    <row r="190" spans="18:35" x14ac:dyDescent="0.2">
      <c r="R190" s="54"/>
      <c r="S190" s="54"/>
      <c r="T190" s="54"/>
      <c r="W190" s="54"/>
      <c r="X190" s="54"/>
      <c r="Y190" s="54"/>
      <c r="AB190" s="54"/>
      <c r="AC190" s="54"/>
      <c r="AD190" s="54"/>
      <c r="AG190" s="54"/>
      <c r="AH190" s="54"/>
      <c r="AI190" s="54"/>
    </row>
    <row r="191" spans="18:35" x14ac:dyDescent="0.2">
      <c r="R191" s="54"/>
      <c r="S191" s="54"/>
      <c r="T191" s="54"/>
      <c r="W191" s="54"/>
      <c r="X191" s="54"/>
      <c r="Y191" s="54"/>
      <c r="AB191" s="54"/>
      <c r="AC191" s="54"/>
      <c r="AD191" s="54"/>
      <c r="AG191" s="54"/>
      <c r="AH191" s="54"/>
      <c r="AI191" s="54"/>
    </row>
    <row r="192" spans="18:35" x14ac:dyDescent="0.2">
      <c r="R192" s="54"/>
      <c r="S192" s="54"/>
      <c r="T192" s="54"/>
      <c r="W192" s="54"/>
      <c r="X192" s="54"/>
      <c r="Y192" s="54"/>
      <c r="AB192" s="54"/>
      <c r="AC192" s="54"/>
      <c r="AD192" s="54"/>
      <c r="AG192" s="54"/>
      <c r="AH192" s="54"/>
      <c r="AI192" s="54"/>
    </row>
    <row r="193" spans="18:35" x14ac:dyDescent="0.2">
      <c r="R193" s="54"/>
      <c r="S193" s="54"/>
      <c r="T193" s="54"/>
      <c r="W193" s="54"/>
      <c r="X193" s="54"/>
      <c r="Y193" s="54"/>
      <c r="AB193" s="54"/>
      <c r="AC193" s="54"/>
      <c r="AD193" s="54"/>
      <c r="AG193" s="54"/>
      <c r="AH193" s="54"/>
      <c r="AI193" s="54"/>
    </row>
    <row r="194" spans="18:35" x14ac:dyDescent="0.2">
      <c r="R194" s="54"/>
      <c r="S194" s="54"/>
      <c r="T194" s="54"/>
      <c r="W194" s="54"/>
      <c r="X194" s="54"/>
      <c r="Y194" s="54"/>
      <c r="AB194" s="54"/>
      <c r="AC194" s="54"/>
      <c r="AD194" s="54"/>
      <c r="AG194" s="54"/>
      <c r="AH194" s="54"/>
      <c r="AI194" s="54"/>
    </row>
    <row r="195" spans="18:35" x14ac:dyDescent="0.2">
      <c r="R195" s="54"/>
      <c r="S195" s="54"/>
      <c r="T195" s="54"/>
      <c r="W195" s="54"/>
      <c r="X195" s="54"/>
      <c r="Y195" s="54"/>
      <c r="AB195" s="54"/>
      <c r="AC195" s="54"/>
      <c r="AD195" s="54"/>
      <c r="AG195" s="54"/>
      <c r="AH195" s="54"/>
      <c r="AI195" s="54"/>
    </row>
    <row r="196" spans="18:35" x14ac:dyDescent="0.2">
      <c r="R196" s="54"/>
      <c r="S196" s="54"/>
      <c r="T196" s="54"/>
      <c r="W196" s="54"/>
      <c r="X196" s="54"/>
      <c r="Y196" s="54"/>
      <c r="AB196" s="54"/>
      <c r="AC196" s="54"/>
      <c r="AD196" s="54"/>
      <c r="AG196" s="54"/>
      <c r="AH196" s="54"/>
      <c r="AI196" s="54"/>
    </row>
    <row r="197" spans="18:35" x14ac:dyDescent="0.2">
      <c r="R197" s="54"/>
      <c r="S197" s="54"/>
      <c r="T197" s="54"/>
      <c r="W197" s="54"/>
      <c r="X197" s="54"/>
      <c r="Y197" s="54"/>
      <c r="AB197" s="54"/>
      <c r="AC197" s="54"/>
      <c r="AD197" s="54"/>
      <c r="AG197" s="54"/>
      <c r="AH197" s="54"/>
      <c r="AI197" s="54"/>
    </row>
    <row r="198" spans="18:35" x14ac:dyDescent="0.2">
      <c r="R198" s="54"/>
      <c r="S198" s="54"/>
      <c r="T198" s="54"/>
      <c r="W198" s="54"/>
      <c r="X198" s="54"/>
      <c r="Y198" s="54"/>
      <c r="AB198" s="54"/>
      <c r="AC198" s="54"/>
      <c r="AD198" s="54"/>
      <c r="AG198" s="54"/>
      <c r="AH198" s="54"/>
      <c r="AI198" s="54"/>
    </row>
    <row r="199" spans="18:35" x14ac:dyDescent="0.2">
      <c r="R199" s="54"/>
      <c r="S199" s="54"/>
      <c r="T199" s="54"/>
      <c r="W199" s="54"/>
      <c r="X199" s="54"/>
      <c r="Y199" s="54"/>
      <c r="AB199" s="54"/>
      <c r="AC199" s="54"/>
      <c r="AD199" s="54"/>
      <c r="AG199" s="54"/>
      <c r="AH199" s="54"/>
      <c r="AI199" s="54"/>
    </row>
    <row r="200" spans="18:35" x14ac:dyDescent="0.2">
      <c r="R200" s="54"/>
      <c r="S200" s="54"/>
      <c r="T200" s="54"/>
      <c r="W200" s="54"/>
      <c r="X200" s="54"/>
      <c r="Y200" s="54"/>
      <c r="AB200" s="54"/>
      <c r="AC200" s="54"/>
      <c r="AD200" s="54"/>
      <c r="AG200" s="54"/>
      <c r="AH200" s="54"/>
      <c r="AI200" s="54"/>
    </row>
    <row r="201" spans="18:35" x14ac:dyDescent="0.2">
      <c r="R201" s="54"/>
      <c r="S201" s="54"/>
      <c r="T201" s="54"/>
      <c r="W201" s="54"/>
      <c r="X201" s="54"/>
      <c r="Y201" s="54"/>
      <c r="AB201" s="54"/>
      <c r="AC201" s="54"/>
      <c r="AD201" s="54"/>
      <c r="AG201" s="54"/>
      <c r="AH201" s="54"/>
      <c r="AI201" s="54"/>
    </row>
    <row r="202" spans="18:35" x14ac:dyDescent="0.2">
      <c r="R202" s="54"/>
      <c r="S202" s="54"/>
      <c r="T202" s="54"/>
      <c r="W202" s="54"/>
      <c r="X202" s="54"/>
      <c r="Y202" s="54"/>
      <c r="AB202" s="54"/>
      <c r="AC202" s="54"/>
      <c r="AD202" s="54"/>
      <c r="AG202" s="54"/>
      <c r="AH202" s="54"/>
      <c r="AI202" s="54"/>
    </row>
    <row r="203" spans="18:35" x14ac:dyDescent="0.2">
      <c r="R203" s="54"/>
      <c r="S203" s="54"/>
      <c r="T203" s="54"/>
      <c r="W203" s="54"/>
      <c r="X203" s="54"/>
      <c r="Y203" s="54"/>
      <c r="AB203" s="54"/>
      <c r="AC203" s="54"/>
      <c r="AD203" s="54"/>
      <c r="AG203" s="54"/>
      <c r="AH203" s="54"/>
      <c r="AI203" s="54"/>
    </row>
    <row r="204" spans="18:35" x14ac:dyDescent="0.2">
      <c r="R204" s="54"/>
      <c r="S204" s="54"/>
      <c r="T204" s="54"/>
      <c r="W204" s="54"/>
      <c r="X204" s="54"/>
      <c r="Y204" s="54"/>
      <c r="AB204" s="54"/>
      <c r="AC204" s="54"/>
      <c r="AD204" s="54"/>
      <c r="AG204" s="54"/>
      <c r="AH204" s="54"/>
      <c r="AI204" s="54"/>
    </row>
    <row r="205" spans="18:35" x14ac:dyDescent="0.2">
      <c r="R205" s="54"/>
      <c r="S205" s="54"/>
      <c r="T205" s="54"/>
      <c r="W205" s="54"/>
      <c r="X205" s="54"/>
      <c r="Y205" s="54"/>
      <c r="AB205" s="54"/>
      <c r="AC205" s="54"/>
      <c r="AD205" s="54"/>
      <c r="AG205" s="54"/>
      <c r="AH205" s="54"/>
      <c r="AI205" s="54"/>
    </row>
    <row r="206" spans="18:35" x14ac:dyDescent="0.2">
      <c r="R206" s="54"/>
      <c r="S206" s="54"/>
      <c r="T206" s="54"/>
      <c r="W206" s="54"/>
      <c r="X206" s="54"/>
      <c r="Y206" s="54"/>
      <c r="AB206" s="54"/>
      <c r="AC206" s="54"/>
      <c r="AD206" s="54"/>
      <c r="AG206" s="54"/>
      <c r="AH206" s="54"/>
      <c r="AI206" s="54"/>
    </row>
    <row r="207" spans="18:35" x14ac:dyDescent="0.2">
      <c r="R207" s="54"/>
      <c r="S207" s="54"/>
      <c r="T207" s="54"/>
      <c r="W207" s="54"/>
      <c r="X207" s="54"/>
      <c r="Y207" s="54"/>
      <c r="AB207" s="54"/>
      <c r="AC207" s="54"/>
      <c r="AD207" s="54"/>
      <c r="AG207" s="54"/>
      <c r="AH207" s="54"/>
      <c r="AI207" s="54"/>
    </row>
    <row r="208" spans="18:35" x14ac:dyDescent="0.2">
      <c r="R208" s="54"/>
      <c r="S208" s="54"/>
      <c r="T208" s="54"/>
      <c r="W208" s="54"/>
      <c r="X208" s="54"/>
      <c r="Y208" s="54"/>
      <c r="AB208" s="54"/>
      <c r="AC208" s="54"/>
      <c r="AD208" s="54"/>
      <c r="AG208" s="54"/>
      <c r="AH208" s="54"/>
      <c r="AI208" s="54"/>
    </row>
    <row r="209" spans="18:35" x14ac:dyDescent="0.2">
      <c r="R209" s="54"/>
      <c r="S209" s="54"/>
      <c r="T209" s="54"/>
      <c r="W209" s="54"/>
      <c r="X209" s="54"/>
      <c r="Y209" s="54"/>
      <c r="AB209" s="54"/>
      <c r="AC209" s="54"/>
      <c r="AD209" s="54"/>
      <c r="AG209" s="54"/>
      <c r="AH209" s="54"/>
      <c r="AI209" s="54"/>
    </row>
    <row r="210" spans="18:35" x14ac:dyDescent="0.2">
      <c r="R210" s="54"/>
      <c r="S210" s="54"/>
      <c r="T210" s="54"/>
      <c r="W210" s="54"/>
      <c r="X210" s="54"/>
      <c r="Y210" s="54"/>
      <c r="AB210" s="54"/>
      <c r="AC210" s="54"/>
      <c r="AD210" s="54"/>
      <c r="AG210" s="54"/>
      <c r="AH210" s="54"/>
      <c r="AI210" s="54"/>
    </row>
    <row r="211" spans="18:35" x14ac:dyDescent="0.2">
      <c r="R211" s="54"/>
      <c r="S211" s="54"/>
      <c r="T211" s="54"/>
      <c r="W211" s="54"/>
      <c r="X211" s="54"/>
      <c r="Y211" s="54"/>
      <c r="AB211" s="54"/>
      <c r="AC211" s="54"/>
      <c r="AD211" s="54"/>
      <c r="AG211" s="54"/>
      <c r="AH211" s="54"/>
      <c r="AI211" s="54"/>
    </row>
    <row r="212" spans="18:35" x14ac:dyDescent="0.2">
      <c r="R212" s="54"/>
      <c r="S212" s="54"/>
      <c r="T212" s="54"/>
      <c r="W212" s="54"/>
      <c r="X212" s="54"/>
      <c r="Y212" s="54"/>
      <c r="AB212" s="54"/>
      <c r="AC212" s="54"/>
      <c r="AD212" s="54"/>
      <c r="AG212" s="54"/>
      <c r="AH212" s="54"/>
      <c r="AI212" s="54"/>
    </row>
    <row r="213" spans="18:35" x14ac:dyDescent="0.2">
      <c r="R213" s="54"/>
      <c r="S213" s="54"/>
      <c r="T213" s="54"/>
      <c r="W213" s="54"/>
      <c r="X213" s="54"/>
      <c r="Y213" s="54"/>
      <c r="AB213" s="54"/>
      <c r="AC213" s="54"/>
      <c r="AD213" s="54"/>
      <c r="AG213" s="54"/>
      <c r="AH213" s="54"/>
      <c r="AI213" s="54"/>
    </row>
    <row r="214" spans="18:35" x14ac:dyDescent="0.2">
      <c r="R214" s="54"/>
      <c r="S214" s="54"/>
      <c r="T214" s="54"/>
      <c r="W214" s="54"/>
      <c r="X214" s="54"/>
      <c r="Y214" s="54"/>
      <c r="AB214" s="54"/>
      <c r="AC214" s="54"/>
      <c r="AD214" s="54"/>
      <c r="AG214" s="54"/>
      <c r="AH214" s="54"/>
      <c r="AI214" s="54"/>
    </row>
    <row r="215" spans="18:35" x14ac:dyDescent="0.2">
      <c r="R215" s="54"/>
      <c r="S215" s="54"/>
      <c r="T215" s="54"/>
      <c r="W215" s="54"/>
      <c r="X215" s="54"/>
      <c r="Y215" s="54"/>
      <c r="AB215" s="54"/>
      <c r="AC215" s="54"/>
      <c r="AD215" s="54"/>
      <c r="AG215" s="54"/>
      <c r="AH215" s="54"/>
      <c r="AI215" s="54"/>
    </row>
    <row r="216" spans="18:35" x14ac:dyDescent="0.2">
      <c r="R216" s="54"/>
      <c r="S216" s="54"/>
      <c r="T216" s="54"/>
      <c r="W216" s="54"/>
      <c r="X216" s="54"/>
      <c r="Y216" s="54"/>
      <c r="AB216" s="54"/>
      <c r="AC216" s="54"/>
      <c r="AD216" s="54"/>
      <c r="AG216" s="54"/>
      <c r="AH216" s="54"/>
      <c r="AI216" s="54"/>
    </row>
    <row r="217" spans="18:35" x14ac:dyDescent="0.2">
      <c r="R217" s="54"/>
      <c r="S217" s="54"/>
      <c r="T217" s="54"/>
      <c r="W217" s="54"/>
      <c r="X217" s="54"/>
      <c r="Y217" s="54"/>
      <c r="AB217" s="54"/>
      <c r="AC217" s="54"/>
      <c r="AD217" s="54"/>
      <c r="AG217" s="54"/>
      <c r="AH217" s="54"/>
      <c r="AI217" s="54"/>
    </row>
    <row r="218" spans="18:35" x14ac:dyDescent="0.2">
      <c r="R218" s="54"/>
      <c r="S218" s="54"/>
      <c r="T218" s="54"/>
      <c r="W218" s="54"/>
      <c r="X218" s="54"/>
      <c r="Y218" s="54"/>
      <c r="AB218" s="54"/>
      <c r="AC218" s="54"/>
      <c r="AD218" s="54"/>
      <c r="AG218" s="54"/>
      <c r="AH218" s="54"/>
      <c r="AI218" s="54"/>
    </row>
    <row r="219" spans="18:35" x14ac:dyDescent="0.2">
      <c r="R219" s="54"/>
      <c r="S219" s="54"/>
      <c r="T219" s="54"/>
      <c r="W219" s="54"/>
      <c r="X219" s="54"/>
      <c r="Y219" s="54"/>
      <c r="AB219" s="54"/>
      <c r="AC219" s="54"/>
      <c r="AD219" s="54"/>
      <c r="AG219" s="54"/>
      <c r="AH219" s="54"/>
      <c r="AI219" s="54"/>
    </row>
    <row r="220" spans="18:35" x14ac:dyDescent="0.2">
      <c r="R220" s="54"/>
      <c r="S220" s="54"/>
      <c r="T220" s="54"/>
      <c r="W220" s="54"/>
      <c r="X220" s="54"/>
      <c r="Y220" s="54"/>
      <c r="AB220" s="54"/>
      <c r="AC220" s="54"/>
      <c r="AD220" s="54"/>
      <c r="AG220" s="54"/>
      <c r="AH220" s="54"/>
      <c r="AI220" s="54"/>
    </row>
    <row r="221" spans="18:35" x14ac:dyDescent="0.2">
      <c r="R221" s="54"/>
      <c r="S221" s="54"/>
      <c r="T221" s="54"/>
      <c r="W221" s="54"/>
      <c r="X221" s="54"/>
      <c r="Y221" s="54"/>
      <c r="AB221" s="54"/>
      <c r="AC221" s="54"/>
      <c r="AD221" s="54"/>
      <c r="AG221" s="54"/>
      <c r="AH221" s="54"/>
      <c r="AI221" s="54"/>
    </row>
    <row r="222" spans="18:35" x14ac:dyDescent="0.2">
      <c r="R222" s="54"/>
      <c r="S222" s="54"/>
      <c r="T222" s="54"/>
      <c r="W222" s="54"/>
      <c r="X222" s="54"/>
      <c r="Y222" s="54"/>
      <c r="AB222" s="54"/>
      <c r="AC222" s="54"/>
      <c r="AD222" s="54"/>
      <c r="AG222" s="54"/>
      <c r="AH222" s="54"/>
      <c r="AI222" s="54"/>
    </row>
    <row r="223" spans="18:35" x14ac:dyDescent="0.2">
      <c r="R223" s="54"/>
      <c r="S223" s="54"/>
      <c r="T223" s="54"/>
      <c r="W223" s="54"/>
      <c r="X223" s="54"/>
      <c r="Y223" s="54"/>
      <c r="AB223" s="54"/>
      <c r="AC223" s="54"/>
      <c r="AD223" s="54"/>
      <c r="AG223" s="54"/>
      <c r="AH223" s="54"/>
      <c r="AI223" s="54"/>
    </row>
    <row r="224" spans="18:35" x14ac:dyDescent="0.2">
      <c r="R224" s="54"/>
      <c r="S224" s="54"/>
      <c r="T224" s="54"/>
      <c r="W224" s="54"/>
      <c r="X224" s="54"/>
      <c r="Y224" s="54"/>
      <c r="AB224" s="54"/>
      <c r="AC224" s="54"/>
      <c r="AD224" s="54"/>
      <c r="AG224" s="54"/>
      <c r="AH224" s="54"/>
      <c r="AI224" s="54"/>
    </row>
    <row r="225" spans="18:35" x14ac:dyDescent="0.2">
      <c r="R225" s="54"/>
      <c r="S225" s="54"/>
      <c r="T225" s="54"/>
      <c r="W225" s="54"/>
      <c r="X225" s="54"/>
      <c r="Y225" s="54"/>
      <c r="AB225" s="54"/>
      <c r="AC225" s="54"/>
      <c r="AD225" s="54"/>
      <c r="AG225" s="54"/>
      <c r="AH225" s="54"/>
      <c r="AI225" s="54"/>
    </row>
    <row r="226" spans="18:35" x14ac:dyDescent="0.2">
      <c r="R226" s="54"/>
      <c r="S226" s="54"/>
      <c r="T226" s="54"/>
      <c r="W226" s="54"/>
      <c r="X226" s="54"/>
      <c r="Y226" s="54"/>
      <c r="AB226" s="54"/>
      <c r="AC226" s="54"/>
      <c r="AD226" s="54"/>
      <c r="AG226" s="54"/>
      <c r="AH226" s="54"/>
      <c r="AI226" s="54"/>
    </row>
    <row r="227" spans="18:35" x14ac:dyDescent="0.2">
      <c r="R227" s="54"/>
      <c r="S227" s="54"/>
      <c r="T227" s="54"/>
      <c r="W227" s="54"/>
      <c r="X227" s="54"/>
      <c r="Y227" s="54"/>
      <c r="AB227" s="54"/>
      <c r="AC227" s="54"/>
      <c r="AD227" s="54"/>
      <c r="AG227" s="54"/>
      <c r="AH227" s="54"/>
      <c r="AI227" s="54"/>
    </row>
    <row r="228" spans="18:35" x14ac:dyDescent="0.2">
      <c r="R228" s="54"/>
      <c r="S228" s="54"/>
      <c r="T228" s="54"/>
      <c r="W228" s="54"/>
      <c r="X228" s="54"/>
      <c r="Y228" s="54"/>
      <c r="AB228" s="54"/>
      <c r="AC228" s="54"/>
      <c r="AD228" s="54"/>
      <c r="AG228" s="54"/>
      <c r="AH228" s="54"/>
      <c r="AI228" s="54"/>
    </row>
    <row r="229" spans="18:35" x14ac:dyDescent="0.2">
      <c r="R229" s="54"/>
      <c r="S229" s="54"/>
      <c r="T229" s="54"/>
      <c r="W229" s="54"/>
      <c r="X229" s="54"/>
      <c r="Y229" s="54"/>
      <c r="AB229" s="54"/>
      <c r="AC229" s="54"/>
      <c r="AD229" s="54"/>
      <c r="AG229" s="54"/>
      <c r="AH229" s="54"/>
      <c r="AI229" s="54"/>
    </row>
    <row r="230" spans="18:35" x14ac:dyDescent="0.2">
      <c r="R230" s="54"/>
      <c r="S230" s="54"/>
      <c r="T230" s="54"/>
      <c r="W230" s="54"/>
      <c r="X230" s="54"/>
      <c r="Y230" s="54"/>
      <c r="AB230" s="54"/>
      <c r="AC230" s="54"/>
      <c r="AD230" s="54"/>
      <c r="AG230" s="54"/>
      <c r="AH230" s="54"/>
      <c r="AI230" s="54"/>
    </row>
    <row r="231" spans="18:35" x14ac:dyDescent="0.2">
      <c r="R231" s="54"/>
      <c r="S231" s="54"/>
      <c r="T231" s="54"/>
      <c r="W231" s="54"/>
      <c r="X231" s="54"/>
      <c r="Y231" s="54"/>
      <c r="AB231" s="54"/>
      <c r="AC231" s="54"/>
      <c r="AD231" s="54"/>
      <c r="AG231" s="54"/>
      <c r="AH231" s="54"/>
      <c r="AI231" s="54"/>
    </row>
    <row r="232" spans="18:35" x14ac:dyDescent="0.2">
      <c r="R232" s="54"/>
      <c r="S232" s="54"/>
      <c r="T232" s="54"/>
      <c r="W232" s="54"/>
      <c r="X232" s="54"/>
      <c r="Y232" s="54"/>
      <c r="AB232" s="54"/>
      <c r="AC232" s="54"/>
      <c r="AD232" s="54"/>
      <c r="AG232" s="54"/>
      <c r="AH232" s="54"/>
      <c r="AI232" s="54"/>
    </row>
    <row r="233" spans="18:35" x14ac:dyDescent="0.2">
      <c r="R233" s="54"/>
      <c r="S233" s="54"/>
      <c r="T233" s="54"/>
      <c r="W233" s="54"/>
      <c r="X233" s="54"/>
      <c r="Y233" s="54"/>
      <c r="AB233" s="54"/>
      <c r="AC233" s="54"/>
      <c r="AD233" s="54"/>
      <c r="AG233" s="54"/>
      <c r="AH233" s="54"/>
      <c r="AI233" s="54"/>
    </row>
    <row r="234" spans="18:35" x14ac:dyDescent="0.2">
      <c r="R234" s="54"/>
      <c r="S234" s="54"/>
      <c r="T234" s="54"/>
      <c r="W234" s="54"/>
      <c r="X234" s="54"/>
      <c r="Y234" s="54"/>
      <c r="AB234" s="54"/>
      <c r="AC234" s="54"/>
      <c r="AD234" s="54"/>
      <c r="AG234" s="54"/>
      <c r="AH234" s="54"/>
      <c r="AI234" s="54"/>
    </row>
    <row r="235" spans="18:35" x14ac:dyDescent="0.2">
      <c r="R235" s="54"/>
      <c r="S235" s="54"/>
      <c r="T235" s="54"/>
      <c r="W235" s="54"/>
      <c r="X235" s="54"/>
      <c r="Y235" s="54"/>
      <c r="AB235" s="54"/>
      <c r="AC235" s="54"/>
      <c r="AD235" s="54"/>
      <c r="AG235" s="54"/>
      <c r="AH235" s="54"/>
      <c r="AI235" s="54"/>
    </row>
    <row r="236" spans="18:35" x14ac:dyDescent="0.2">
      <c r="R236" s="54"/>
      <c r="S236" s="54"/>
      <c r="T236" s="54"/>
      <c r="W236" s="54"/>
      <c r="X236" s="54"/>
      <c r="Y236" s="54"/>
      <c r="AB236" s="54"/>
      <c r="AC236" s="54"/>
      <c r="AD236" s="54"/>
      <c r="AG236" s="54"/>
      <c r="AH236" s="54"/>
      <c r="AI236" s="54"/>
    </row>
    <row r="237" spans="18:35" x14ac:dyDescent="0.2">
      <c r="R237" s="54"/>
      <c r="S237" s="54"/>
      <c r="T237" s="54"/>
      <c r="W237" s="54"/>
      <c r="X237" s="54"/>
      <c r="Y237" s="54"/>
      <c r="AB237" s="54"/>
      <c r="AC237" s="54"/>
      <c r="AD237" s="54"/>
      <c r="AG237" s="54"/>
      <c r="AH237" s="54"/>
      <c r="AI237" s="54"/>
    </row>
    <row r="238" spans="18:35" x14ac:dyDescent="0.2">
      <c r="R238" s="54"/>
      <c r="S238" s="54"/>
      <c r="T238" s="54"/>
      <c r="W238" s="54"/>
      <c r="X238" s="54"/>
      <c r="Y238" s="54"/>
      <c r="AB238" s="54"/>
      <c r="AC238" s="54"/>
      <c r="AD238" s="54"/>
      <c r="AG238" s="54"/>
      <c r="AH238" s="54"/>
      <c r="AI238" s="54"/>
    </row>
    <row r="239" spans="18:35" x14ac:dyDescent="0.2">
      <c r="R239" s="54"/>
      <c r="S239" s="54"/>
      <c r="T239" s="54"/>
      <c r="W239" s="54"/>
      <c r="X239" s="54"/>
      <c r="Y239" s="54"/>
      <c r="AB239" s="54"/>
      <c r="AC239" s="54"/>
      <c r="AD239" s="54"/>
      <c r="AG239" s="54"/>
      <c r="AH239" s="54"/>
      <c r="AI239" s="54"/>
    </row>
    <row r="240" spans="18:35" x14ac:dyDescent="0.2">
      <c r="R240" s="54"/>
      <c r="S240" s="54"/>
      <c r="T240" s="54"/>
      <c r="W240" s="54"/>
      <c r="X240" s="54"/>
      <c r="Y240" s="54"/>
      <c r="AB240" s="54"/>
      <c r="AC240" s="54"/>
      <c r="AD240" s="54"/>
      <c r="AG240" s="54"/>
      <c r="AH240" s="54"/>
      <c r="AI240" s="54"/>
    </row>
    <row r="241" spans="18:35" x14ac:dyDescent="0.2">
      <c r="R241" s="54"/>
      <c r="S241" s="54"/>
      <c r="T241" s="54"/>
      <c r="W241" s="54"/>
      <c r="X241" s="54"/>
      <c r="Y241" s="54"/>
      <c r="AB241" s="54"/>
      <c r="AC241" s="54"/>
      <c r="AD241" s="54"/>
      <c r="AG241" s="54"/>
      <c r="AH241" s="54"/>
      <c r="AI241" s="54"/>
    </row>
    <row r="242" spans="18:35" x14ac:dyDescent="0.2">
      <c r="R242" s="54"/>
      <c r="S242" s="54"/>
      <c r="T242" s="54"/>
      <c r="W242" s="54"/>
      <c r="X242" s="54"/>
      <c r="Y242" s="54"/>
      <c r="AB242" s="54"/>
      <c r="AC242" s="54"/>
      <c r="AD242" s="54"/>
      <c r="AG242" s="54"/>
      <c r="AH242" s="54"/>
      <c r="AI242" s="54"/>
    </row>
    <row r="243" spans="18:35" x14ac:dyDescent="0.2">
      <c r="R243" s="54"/>
      <c r="S243" s="54"/>
      <c r="T243" s="54"/>
      <c r="W243" s="54"/>
      <c r="X243" s="54"/>
      <c r="Y243" s="54"/>
      <c r="AB243" s="54"/>
      <c r="AC243" s="54"/>
      <c r="AD243" s="54"/>
      <c r="AG243" s="54"/>
      <c r="AH243" s="54"/>
      <c r="AI243" s="54"/>
    </row>
    <row r="244" spans="18:35" x14ac:dyDescent="0.2">
      <c r="R244" s="54"/>
      <c r="S244" s="54"/>
      <c r="T244" s="54"/>
      <c r="W244" s="54"/>
      <c r="X244" s="54"/>
      <c r="Y244" s="54"/>
      <c r="AB244" s="54"/>
      <c r="AC244" s="54"/>
      <c r="AD244" s="54"/>
      <c r="AG244" s="54"/>
      <c r="AH244" s="54"/>
      <c r="AI244" s="54"/>
    </row>
    <row r="245" spans="18:35" x14ac:dyDescent="0.2">
      <c r="R245" s="54"/>
      <c r="S245" s="54"/>
      <c r="T245" s="54"/>
      <c r="W245" s="54"/>
      <c r="X245" s="54"/>
      <c r="Y245" s="54"/>
      <c r="AB245" s="54"/>
      <c r="AC245" s="54"/>
      <c r="AD245" s="54"/>
      <c r="AG245" s="54"/>
      <c r="AH245" s="54"/>
      <c r="AI245" s="54"/>
    </row>
    <row r="246" spans="18:35" x14ac:dyDescent="0.2">
      <c r="R246" s="54"/>
      <c r="S246" s="54"/>
      <c r="T246" s="54"/>
      <c r="W246" s="54"/>
      <c r="X246" s="54"/>
      <c r="Y246" s="54"/>
      <c r="AB246" s="54"/>
      <c r="AC246" s="54"/>
      <c r="AD246" s="54"/>
      <c r="AG246" s="54"/>
      <c r="AH246" s="54"/>
      <c r="AI246" s="54"/>
    </row>
    <row r="247" spans="18:35" x14ac:dyDescent="0.2">
      <c r="R247" s="54"/>
      <c r="S247" s="54"/>
      <c r="T247" s="54"/>
      <c r="W247" s="54"/>
      <c r="X247" s="54"/>
      <c r="Y247" s="54"/>
      <c r="AB247" s="54"/>
      <c r="AC247" s="54"/>
      <c r="AD247" s="54"/>
      <c r="AG247" s="54"/>
      <c r="AH247" s="54"/>
      <c r="AI247" s="54"/>
    </row>
    <row r="248" spans="18:35" x14ac:dyDescent="0.2">
      <c r="R248" s="54"/>
      <c r="S248" s="54"/>
      <c r="T248" s="54"/>
      <c r="W248" s="54"/>
      <c r="X248" s="54"/>
      <c r="Y248" s="54"/>
      <c r="AB248" s="54"/>
      <c r="AC248" s="54"/>
      <c r="AD248" s="54"/>
      <c r="AG248" s="54"/>
      <c r="AH248" s="54"/>
      <c r="AI248" s="54"/>
    </row>
    <row r="249" spans="18:35" x14ac:dyDescent="0.2">
      <c r="R249" s="54"/>
      <c r="S249" s="54"/>
      <c r="T249" s="54"/>
      <c r="W249" s="54"/>
      <c r="X249" s="54"/>
      <c r="Y249" s="54"/>
      <c r="AB249" s="54"/>
      <c r="AC249" s="54"/>
      <c r="AD249" s="54"/>
      <c r="AG249" s="54"/>
      <c r="AH249" s="54"/>
      <c r="AI249" s="54"/>
    </row>
    <row r="250" spans="18:35" x14ac:dyDescent="0.2">
      <c r="R250" s="54"/>
      <c r="S250" s="54"/>
      <c r="T250" s="54"/>
      <c r="W250" s="54"/>
      <c r="X250" s="54"/>
      <c r="Y250" s="54"/>
      <c r="AB250" s="54"/>
      <c r="AC250" s="54"/>
      <c r="AD250" s="54"/>
      <c r="AG250" s="54"/>
      <c r="AH250" s="54"/>
      <c r="AI250" s="54"/>
    </row>
    <row r="251" spans="18:35" x14ac:dyDescent="0.2">
      <c r="R251" s="54"/>
      <c r="S251" s="54"/>
      <c r="T251" s="54"/>
      <c r="W251" s="54"/>
      <c r="X251" s="54"/>
      <c r="Y251" s="54"/>
      <c r="AB251" s="54"/>
      <c r="AC251" s="54"/>
      <c r="AD251" s="54"/>
      <c r="AG251" s="54"/>
      <c r="AH251" s="54"/>
      <c r="AI251" s="54"/>
    </row>
    <row r="252" spans="18:35" x14ac:dyDescent="0.2">
      <c r="R252" s="54"/>
      <c r="S252" s="54"/>
      <c r="T252" s="54"/>
      <c r="W252" s="54"/>
      <c r="X252" s="54"/>
      <c r="Y252" s="54"/>
      <c r="AB252" s="54"/>
      <c r="AC252" s="54"/>
      <c r="AD252" s="54"/>
      <c r="AG252" s="54"/>
      <c r="AH252" s="54"/>
      <c r="AI252" s="54"/>
    </row>
    <row r="253" spans="18:35" x14ac:dyDescent="0.2">
      <c r="R253" s="54"/>
      <c r="S253" s="54"/>
      <c r="T253" s="54"/>
      <c r="W253" s="54"/>
      <c r="X253" s="54"/>
      <c r="Y253" s="54"/>
      <c r="AB253" s="54"/>
      <c r="AC253" s="54"/>
      <c r="AD253" s="54"/>
      <c r="AG253" s="54"/>
      <c r="AH253" s="54"/>
      <c r="AI253" s="54"/>
    </row>
    <row r="254" spans="18:35" x14ac:dyDescent="0.2">
      <c r="R254" s="54"/>
      <c r="S254" s="54"/>
      <c r="T254" s="54"/>
      <c r="W254" s="54"/>
      <c r="X254" s="54"/>
      <c r="Y254" s="54"/>
      <c r="AB254" s="54"/>
      <c r="AC254" s="54"/>
      <c r="AD254" s="54"/>
      <c r="AG254" s="54"/>
      <c r="AH254" s="54"/>
      <c r="AI254" s="54"/>
    </row>
    <row r="255" spans="18:35" x14ac:dyDescent="0.2">
      <c r="R255" s="54"/>
      <c r="S255" s="54"/>
      <c r="T255" s="54"/>
      <c r="W255" s="54"/>
      <c r="X255" s="54"/>
      <c r="Y255" s="54"/>
      <c r="AB255" s="54"/>
      <c r="AC255" s="54"/>
      <c r="AD255" s="54"/>
      <c r="AG255" s="54"/>
      <c r="AH255" s="54"/>
      <c r="AI255" s="54"/>
    </row>
    <row r="256" spans="18:35" x14ac:dyDescent="0.2">
      <c r="R256" s="54"/>
      <c r="S256" s="54"/>
      <c r="T256" s="54"/>
      <c r="W256" s="54"/>
      <c r="X256" s="54"/>
      <c r="Y256" s="54"/>
      <c r="AB256" s="54"/>
      <c r="AC256" s="54"/>
      <c r="AD256" s="54"/>
      <c r="AG256" s="54"/>
      <c r="AH256" s="54"/>
      <c r="AI256" s="54"/>
    </row>
    <row r="257" spans="18:35" x14ac:dyDescent="0.2">
      <c r="R257" s="54"/>
      <c r="S257" s="54"/>
      <c r="T257" s="54"/>
      <c r="W257" s="54"/>
      <c r="X257" s="54"/>
      <c r="Y257" s="54"/>
      <c r="AB257" s="54"/>
      <c r="AC257" s="54"/>
      <c r="AD257" s="54"/>
      <c r="AG257" s="54"/>
      <c r="AH257" s="54"/>
      <c r="AI257" s="54"/>
    </row>
    <row r="258" spans="18:35" x14ac:dyDescent="0.2">
      <c r="R258" s="54"/>
      <c r="S258" s="54"/>
      <c r="T258" s="54"/>
      <c r="W258" s="54"/>
      <c r="X258" s="54"/>
      <c r="Y258" s="54"/>
      <c r="AB258" s="54"/>
      <c r="AC258" s="54"/>
      <c r="AD258" s="54"/>
      <c r="AG258" s="54"/>
      <c r="AH258" s="54"/>
      <c r="AI258" s="54"/>
    </row>
    <row r="259" spans="18:35" x14ac:dyDescent="0.2">
      <c r="R259" s="54"/>
      <c r="S259" s="54"/>
      <c r="T259" s="54"/>
      <c r="W259" s="54"/>
      <c r="X259" s="54"/>
      <c r="Y259" s="54"/>
      <c r="AB259" s="54"/>
      <c r="AC259" s="54"/>
      <c r="AD259" s="54"/>
      <c r="AG259" s="54"/>
      <c r="AH259" s="54"/>
      <c r="AI259" s="54"/>
    </row>
    <row r="260" spans="18:35" x14ac:dyDescent="0.2">
      <c r="R260" s="54"/>
      <c r="S260" s="54"/>
      <c r="T260" s="54"/>
      <c r="W260" s="54"/>
      <c r="X260" s="54"/>
      <c r="Y260" s="54"/>
      <c r="AB260" s="54"/>
      <c r="AC260" s="54"/>
      <c r="AD260" s="54"/>
      <c r="AG260" s="54"/>
      <c r="AH260" s="54"/>
      <c r="AI260" s="54"/>
    </row>
    <row r="261" spans="18:35" x14ac:dyDescent="0.2">
      <c r="R261" s="54"/>
      <c r="S261" s="54"/>
      <c r="T261" s="54"/>
      <c r="W261" s="54"/>
      <c r="X261" s="54"/>
      <c r="Y261" s="54"/>
      <c r="AB261" s="54"/>
      <c r="AC261" s="54"/>
      <c r="AD261" s="54"/>
      <c r="AG261" s="54"/>
      <c r="AH261" s="54"/>
      <c r="AI261" s="54"/>
    </row>
    <row r="262" spans="18:35" x14ac:dyDescent="0.2">
      <c r="R262" s="54"/>
      <c r="S262" s="54"/>
      <c r="T262" s="54"/>
      <c r="W262" s="54"/>
      <c r="X262" s="54"/>
      <c r="Y262" s="54"/>
      <c r="AB262" s="54"/>
      <c r="AC262" s="54"/>
      <c r="AD262" s="54"/>
      <c r="AG262" s="54"/>
      <c r="AH262" s="54"/>
      <c r="AI262" s="54"/>
    </row>
    <row r="263" spans="18:35" x14ac:dyDescent="0.2">
      <c r="R263" s="54"/>
      <c r="S263" s="54"/>
      <c r="T263" s="54"/>
      <c r="W263" s="54"/>
      <c r="X263" s="54"/>
      <c r="Y263" s="54"/>
      <c r="AB263" s="54"/>
      <c r="AC263" s="54"/>
      <c r="AD263" s="54"/>
      <c r="AG263" s="54"/>
      <c r="AH263" s="54"/>
      <c r="AI263" s="54"/>
    </row>
    <row r="264" spans="18:35" x14ac:dyDescent="0.2">
      <c r="R264" s="54"/>
      <c r="S264" s="54"/>
      <c r="T264" s="54"/>
      <c r="W264" s="54"/>
      <c r="X264" s="54"/>
      <c r="Y264" s="54"/>
      <c r="AB264" s="54"/>
      <c r="AC264" s="54"/>
      <c r="AD264" s="54"/>
      <c r="AG264" s="54"/>
      <c r="AH264" s="54"/>
      <c r="AI264" s="54"/>
    </row>
    <row r="265" spans="18:35" x14ac:dyDescent="0.2">
      <c r="R265" s="54"/>
      <c r="S265" s="54"/>
      <c r="T265" s="54"/>
      <c r="W265" s="54"/>
      <c r="X265" s="54"/>
      <c r="Y265" s="54"/>
      <c r="AB265" s="54"/>
      <c r="AC265" s="54"/>
      <c r="AD265" s="54"/>
      <c r="AG265" s="54"/>
      <c r="AH265" s="54"/>
      <c r="AI265" s="54"/>
    </row>
    <row r="266" spans="18:35" x14ac:dyDescent="0.2">
      <c r="R266" s="54"/>
      <c r="S266" s="54"/>
      <c r="T266" s="54"/>
      <c r="W266" s="54"/>
      <c r="X266" s="54"/>
      <c r="Y266" s="54"/>
      <c r="AB266" s="54"/>
      <c r="AC266" s="54"/>
      <c r="AD266" s="54"/>
      <c r="AG266" s="54"/>
      <c r="AH266" s="54"/>
      <c r="AI266" s="54"/>
    </row>
    <row r="267" spans="18:35" x14ac:dyDescent="0.2">
      <c r="R267" s="54"/>
      <c r="S267" s="54"/>
      <c r="T267" s="54"/>
      <c r="W267" s="54"/>
      <c r="X267" s="54"/>
      <c r="Y267" s="54"/>
      <c r="AB267" s="54"/>
      <c r="AC267" s="54"/>
      <c r="AD267" s="54"/>
      <c r="AG267" s="54"/>
      <c r="AH267" s="54"/>
      <c r="AI267" s="54"/>
    </row>
    <row r="268" spans="18:35" x14ac:dyDescent="0.2">
      <c r="R268" s="54"/>
      <c r="S268" s="54"/>
      <c r="T268" s="54"/>
      <c r="W268" s="54"/>
      <c r="X268" s="54"/>
      <c r="Y268" s="54"/>
      <c r="AB268" s="54"/>
      <c r="AC268" s="54"/>
      <c r="AD268" s="54"/>
      <c r="AG268" s="54"/>
      <c r="AH268" s="54"/>
      <c r="AI268" s="54"/>
    </row>
    <row r="269" spans="18:35" x14ac:dyDescent="0.2">
      <c r="R269" s="54"/>
      <c r="S269" s="54"/>
      <c r="T269" s="54"/>
      <c r="W269" s="54"/>
      <c r="X269" s="54"/>
      <c r="Y269" s="54"/>
      <c r="AB269" s="54"/>
      <c r="AC269" s="54"/>
      <c r="AD269" s="54"/>
      <c r="AG269" s="54"/>
      <c r="AH269" s="54"/>
      <c r="AI269" s="54"/>
    </row>
    <row r="270" spans="18:35" x14ac:dyDescent="0.2">
      <c r="R270" s="54"/>
      <c r="S270" s="54"/>
      <c r="T270" s="54"/>
      <c r="W270" s="54"/>
      <c r="X270" s="54"/>
      <c r="Y270" s="54"/>
      <c r="AB270" s="54"/>
      <c r="AC270" s="54"/>
      <c r="AD270" s="54"/>
      <c r="AG270" s="54"/>
      <c r="AH270" s="54"/>
      <c r="AI270" s="54"/>
    </row>
    <row r="271" spans="18:35" x14ac:dyDescent="0.2">
      <c r="R271" s="54"/>
      <c r="S271" s="54"/>
      <c r="T271" s="54"/>
      <c r="W271" s="54"/>
      <c r="X271" s="54"/>
      <c r="Y271" s="54"/>
      <c r="AB271" s="54"/>
      <c r="AC271" s="54"/>
      <c r="AD271" s="54"/>
      <c r="AG271" s="54"/>
      <c r="AH271" s="54"/>
      <c r="AI271" s="54"/>
    </row>
    <row r="272" spans="18:35" x14ac:dyDescent="0.2">
      <c r="R272" s="54"/>
      <c r="S272" s="54"/>
      <c r="T272" s="54"/>
      <c r="W272" s="54"/>
      <c r="X272" s="54"/>
      <c r="Y272" s="54"/>
      <c r="AB272" s="54"/>
      <c r="AC272" s="54"/>
      <c r="AD272" s="54"/>
      <c r="AG272" s="54"/>
      <c r="AH272" s="54"/>
      <c r="AI272" s="54"/>
    </row>
    <row r="273" spans="18:35" x14ac:dyDescent="0.2">
      <c r="R273" s="54"/>
      <c r="S273" s="54"/>
      <c r="T273" s="54"/>
      <c r="W273" s="54"/>
      <c r="X273" s="54"/>
      <c r="Y273" s="54"/>
      <c r="AB273" s="54"/>
      <c r="AC273" s="54"/>
      <c r="AD273" s="54"/>
      <c r="AG273" s="54"/>
      <c r="AH273" s="54"/>
      <c r="AI273" s="54"/>
    </row>
    <row r="274" spans="18:35" x14ac:dyDescent="0.2">
      <c r="R274" s="54"/>
      <c r="S274" s="54"/>
      <c r="T274" s="54"/>
      <c r="W274" s="54"/>
      <c r="X274" s="54"/>
      <c r="Y274" s="54"/>
      <c r="AB274" s="54"/>
      <c r="AC274" s="54"/>
      <c r="AD274" s="54"/>
      <c r="AG274" s="54"/>
      <c r="AH274" s="54"/>
      <c r="AI274" s="54"/>
    </row>
    <row r="275" spans="18:35" x14ac:dyDescent="0.2">
      <c r="R275" s="54"/>
      <c r="S275" s="54"/>
      <c r="T275" s="54"/>
      <c r="W275" s="54"/>
      <c r="X275" s="54"/>
      <c r="Y275" s="54"/>
      <c r="AB275" s="54"/>
      <c r="AC275" s="54"/>
      <c r="AD275" s="54"/>
      <c r="AG275" s="54"/>
      <c r="AH275" s="54"/>
      <c r="AI275" s="54"/>
    </row>
    <row r="276" spans="18:35" x14ac:dyDescent="0.2">
      <c r="R276" s="54"/>
      <c r="S276" s="54"/>
      <c r="T276" s="54"/>
      <c r="W276" s="54"/>
      <c r="X276" s="54"/>
      <c r="Y276" s="54"/>
      <c r="AB276" s="54"/>
      <c r="AC276" s="54"/>
      <c r="AD276" s="54"/>
      <c r="AG276" s="54"/>
      <c r="AH276" s="54"/>
      <c r="AI276" s="54"/>
    </row>
    <row r="277" spans="18:35" x14ac:dyDescent="0.2">
      <c r="R277" s="54"/>
      <c r="S277" s="54"/>
      <c r="T277" s="54"/>
      <c r="W277" s="54"/>
      <c r="X277" s="54"/>
      <c r="Y277" s="54"/>
      <c r="AB277" s="54"/>
      <c r="AC277" s="54"/>
      <c r="AD277" s="54"/>
      <c r="AG277" s="54"/>
      <c r="AH277" s="54"/>
      <c r="AI277" s="54"/>
    </row>
    <row r="278" spans="18:35" x14ac:dyDescent="0.2">
      <c r="R278" s="54"/>
      <c r="S278" s="54"/>
      <c r="T278" s="54"/>
      <c r="W278" s="54"/>
      <c r="X278" s="54"/>
      <c r="Y278" s="54"/>
      <c r="AB278" s="54"/>
      <c r="AC278" s="54"/>
      <c r="AD278" s="54"/>
      <c r="AG278" s="54"/>
      <c r="AH278" s="54"/>
      <c r="AI278" s="54"/>
    </row>
    <row r="279" spans="18:35" x14ac:dyDescent="0.2">
      <c r="R279" s="54"/>
      <c r="S279" s="54"/>
      <c r="T279" s="54"/>
      <c r="W279" s="54"/>
      <c r="X279" s="54"/>
      <c r="Y279" s="54"/>
      <c r="AB279" s="54"/>
      <c r="AC279" s="54"/>
      <c r="AD279" s="54"/>
      <c r="AG279" s="54"/>
      <c r="AH279" s="54"/>
      <c r="AI279" s="54"/>
    </row>
    <row r="280" spans="18:35" x14ac:dyDescent="0.2">
      <c r="R280" s="54"/>
      <c r="S280" s="54"/>
      <c r="T280" s="54"/>
      <c r="W280" s="54"/>
      <c r="X280" s="54"/>
      <c r="Y280" s="54"/>
      <c r="AB280" s="54"/>
      <c r="AC280" s="54"/>
      <c r="AD280" s="54"/>
      <c r="AG280" s="54"/>
      <c r="AH280" s="54"/>
      <c r="AI280" s="54"/>
    </row>
    <row r="281" spans="18:35" x14ac:dyDescent="0.2">
      <c r="R281" s="54"/>
      <c r="S281" s="54"/>
      <c r="T281" s="54"/>
      <c r="W281" s="54"/>
      <c r="X281" s="54"/>
      <c r="Y281" s="54"/>
      <c r="AB281" s="54"/>
      <c r="AC281" s="54"/>
      <c r="AD281" s="54"/>
      <c r="AG281" s="54"/>
      <c r="AH281" s="54"/>
      <c r="AI281" s="54"/>
    </row>
    <row r="282" spans="18:35" x14ac:dyDescent="0.2">
      <c r="R282" s="54"/>
      <c r="S282" s="54"/>
      <c r="T282" s="54"/>
      <c r="W282" s="54"/>
      <c r="X282" s="54"/>
      <c r="Y282" s="54"/>
      <c r="AB282" s="54"/>
      <c r="AC282" s="54"/>
      <c r="AD282" s="54"/>
      <c r="AG282" s="54"/>
      <c r="AH282" s="54"/>
      <c r="AI282" s="54"/>
    </row>
    <row r="283" spans="18:35" x14ac:dyDescent="0.2">
      <c r="R283" s="54"/>
      <c r="S283" s="54"/>
      <c r="T283" s="54"/>
      <c r="W283" s="54"/>
      <c r="X283" s="54"/>
      <c r="Y283" s="54"/>
      <c r="AB283" s="54"/>
      <c r="AC283" s="54"/>
      <c r="AD283" s="54"/>
      <c r="AG283" s="54"/>
      <c r="AH283" s="54"/>
      <c r="AI283" s="54"/>
    </row>
    <row r="284" spans="18:35" x14ac:dyDescent="0.2">
      <c r="R284" s="54"/>
      <c r="S284" s="54"/>
      <c r="T284" s="54"/>
      <c r="W284" s="54"/>
      <c r="X284" s="54"/>
      <c r="Y284" s="54"/>
      <c r="AB284" s="54"/>
      <c r="AC284" s="54"/>
      <c r="AD284" s="54"/>
      <c r="AG284" s="54"/>
      <c r="AH284" s="54"/>
      <c r="AI284" s="54"/>
    </row>
    <row r="285" spans="18:35" x14ac:dyDescent="0.2">
      <c r="R285" s="54"/>
      <c r="S285" s="54"/>
      <c r="T285" s="54"/>
      <c r="W285" s="54"/>
      <c r="X285" s="54"/>
      <c r="Y285" s="54"/>
      <c r="AB285" s="54"/>
      <c r="AC285" s="54"/>
      <c r="AD285" s="54"/>
      <c r="AG285" s="54"/>
      <c r="AH285" s="54"/>
      <c r="AI285" s="54"/>
    </row>
    <row r="286" spans="18:35" x14ac:dyDescent="0.2">
      <c r="R286" s="54"/>
      <c r="S286" s="54"/>
      <c r="T286" s="54"/>
      <c r="W286" s="54"/>
      <c r="X286" s="54"/>
      <c r="Y286" s="54"/>
      <c r="AB286" s="54"/>
      <c r="AC286" s="54"/>
      <c r="AD286" s="54"/>
      <c r="AG286" s="54"/>
      <c r="AH286" s="54"/>
      <c r="AI286" s="54"/>
    </row>
    <row r="287" spans="18:35" x14ac:dyDescent="0.2">
      <c r="R287" s="54"/>
      <c r="S287" s="54"/>
      <c r="T287" s="54"/>
      <c r="W287" s="54"/>
      <c r="X287" s="54"/>
      <c r="Y287" s="54"/>
      <c r="AB287" s="54"/>
      <c r="AC287" s="54"/>
      <c r="AD287" s="54"/>
      <c r="AG287" s="54"/>
      <c r="AH287" s="54"/>
      <c r="AI287" s="54"/>
    </row>
    <row r="288" spans="18:35" x14ac:dyDescent="0.2">
      <c r="R288" s="54"/>
      <c r="S288" s="54"/>
      <c r="T288" s="54"/>
      <c r="W288" s="54"/>
      <c r="X288" s="54"/>
      <c r="Y288" s="54"/>
      <c r="AB288" s="54"/>
      <c r="AC288" s="54"/>
      <c r="AD288" s="54"/>
      <c r="AG288" s="54"/>
      <c r="AH288" s="54"/>
      <c r="AI288" s="54"/>
    </row>
    <row r="289" spans="18:35" x14ac:dyDescent="0.2">
      <c r="R289" s="54"/>
      <c r="S289" s="54"/>
      <c r="T289" s="54"/>
      <c r="W289" s="54"/>
      <c r="X289" s="54"/>
      <c r="Y289" s="54"/>
      <c r="AB289" s="54"/>
      <c r="AC289" s="54"/>
      <c r="AD289" s="54"/>
      <c r="AG289" s="54"/>
      <c r="AH289" s="54"/>
      <c r="AI289" s="54"/>
    </row>
    <row r="290" spans="18:35" x14ac:dyDescent="0.2">
      <c r="R290" s="54"/>
      <c r="S290" s="54"/>
      <c r="T290" s="54"/>
      <c r="W290" s="54"/>
      <c r="X290" s="54"/>
      <c r="Y290" s="54"/>
      <c r="AB290" s="54"/>
      <c r="AC290" s="54"/>
      <c r="AD290" s="54"/>
      <c r="AG290" s="54"/>
      <c r="AH290" s="54"/>
      <c r="AI290" s="54"/>
    </row>
    <row r="291" spans="18:35" x14ac:dyDescent="0.2">
      <c r="R291" s="54"/>
      <c r="S291" s="54"/>
      <c r="T291" s="54"/>
      <c r="W291" s="54"/>
      <c r="X291" s="54"/>
      <c r="Y291" s="54"/>
      <c r="AB291" s="54"/>
      <c r="AC291" s="54"/>
      <c r="AD291" s="54"/>
      <c r="AG291" s="54"/>
      <c r="AH291" s="54"/>
      <c r="AI291" s="54"/>
    </row>
    <row r="292" spans="18:35" x14ac:dyDescent="0.2">
      <c r="R292" s="54"/>
      <c r="S292" s="54"/>
      <c r="T292" s="54"/>
      <c r="W292" s="54"/>
      <c r="X292" s="54"/>
      <c r="Y292" s="54"/>
      <c r="AB292" s="54"/>
      <c r="AC292" s="54"/>
      <c r="AD292" s="54"/>
      <c r="AG292" s="54"/>
      <c r="AH292" s="54"/>
      <c r="AI292" s="54"/>
    </row>
    <row r="293" spans="18:35" x14ac:dyDescent="0.2">
      <c r="R293" s="54"/>
      <c r="S293" s="54"/>
      <c r="T293" s="54"/>
      <c r="W293" s="54"/>
      <c r="X293" s="54"/>
      <c r="Y293" s="54"/>
      <c r="AB293" s="54"/>
      <c r="AC293" s="54"/>
      <c r="AD293" s="54"/>
      <c r="AG293" s="54"/>
      <c r="AH293" s="54"/>
      <c r="AI293" s="54"/>
    </row>
    <row r="294" spans="18:35" x14ac:dyDescent="0.2">
      <c r="R294" s="54"/>
      <c r="S294" s="54"/>
      <c r="T294" s="54"/>
      <c r="W294" s="54"/>
      <c r="X294" s="54"/>
      <c r="Y294" s="54"/>
      <c r="AB294" s="54"/>
      <c r="AC294" s="54"/>
      <c r="AD294" s="54"/>
      <c r="AG294" s="54"/>
      <c r="AH294" s="54"/>
      <c r="AI294" s="54"/>
    </row>
    <row r="295" spans="18:35" x14ac:dyDescent="0.2">
      <c r="R295" s="54"/>
      <c r="S295" s="54"/>
      <c r="T295" s="54"/>
      <c r="W295" s="54"/>
      <c r="X295" s="54"/>
      <c r="Y295" s="54"/>
      <c r="AB295" s="54"/>
      <c r="AC295" s="54"/>
      <c r="AD295" s="54"/>
      <c r="AG295" s="54"/>
      <c r="AH295" s="54"/>
      <c r="AI295" s="54"/>
    </row>
    <row r="296" spans="18:35" x14ac:dyDescent="0.2">
      <c r="R296" s="54"/>
      <c r="S296" s="54"/>
      <c r="T296" s="54"/>
      <c r="W296" s="54"/>
      <c r="X296" s="54"/>
      <c r="Y296" s="54"/>
      <c r="AB296" s="54"/>
      <c r="AC296" s="54"/>
      <c r="AD296" s="54"/>
      <c r="AG296" s="54"/>
      <c r="AH296" s="54"/>
      <c r="AI296" s="54"/>
    </row>
    <row r="297" spans="18:35" x14ac:dyDescent="0.2">
      <c r="R297" s="54"/>
      <c r="S297" s="54"/>
      <c r="T297" s="54"/>
      <c r="W297" s="54"/>
      <c r="X297" s="54"/>
      <c r="Y297" s="54"/>
      <c r="AB297" s="54"/>
      <c r="AC297" s="54"/>
      <c r="AD297" s="54"/>
      <c r="AG297" s="54"/>
      <c r="AH297" s="54"/>
      <c r="AI297" s="54"/>
    </row>
    <row r="298" spans="18:35" x14ac:dyDescent="0.2">
      <c r="R298" s="54"/>
      <c r="S298" s="54"/>
      <c r="T298" s="54"/>
      <c r="W298" s="54"/>
      <c r="X298" s="54"/>
      <c r="Y298" s="54"/>
      <c r="AB298" s="54"/>
      <c r="AC298" s="54"/>
      <c r="AD298" s="54"/>
      <c r="AG298" s="54"/>
      <c r="AH298" s="54"/>
      <c r="AI298" s="54"/>
    </row>
    <row r="299" spans="18:35" x14ac:dyDescent="0.2">
      <c r="R299" s="54"/>
      <c r="S299" s="54"/>
      <c r="T299" s="54"/>
      <c r="W299" s="54"/>
      <c r="X299" s="54"/>
      <c r="Y299" s="54"/>
      <c r="AB299" s="54"/>
      <c r="AC299" s="54"/>
      <c r="AD299" s="54"/>
      <c r="AG299" s="54"/>
      <c r="AH299" s="54"/>
      <c r="AI299" s="54"/>
    </row>
    <row r="300" spans="18:35" x14ac:dyDescent="0.2">
      <c r="R300" s="54"/>
      <c r="S300" s="54"/>
      <c r="T300" s="54"/>
      <c r="W300" s="54"/>
      <c r="X300" s="54"/>
      <c r="Y300" s="54"/>
      <c r="AB300" s="54"/>
      <c r="AC300" s="54"/>
      <c r="AD300" s="54"/>
      <c r="AG300" s="54"/>
      <c r="AH300" s="54"/>
      <c r="AI300" s="54"/>
    </row>
    <row r="301" spans="18:35" x14ac:dyDescent="0.2">
      <c r="R301" s="54"/>
      <c r="S301" s="54"/>
      <c r="T301" s="54"/>
      <c r="W301" s="54"/>
      <c r="X301" s="54"/>
      <c r="Y301" s="54"/>
      <c r="AB301" s="54"/>
      <c r="AC301" s="54"/>
      <c r="AD301" s="54"/>
      <c r="AG301" s="54"/>
      <c r="AH301" s="54"/>
      <c r="AI301" s="54"/>
    </row>
    <row r="302" spans="18:35" x14ac:dyDescent="0.2">
      <c r="R302" s="54"/>
      <c r="S302" s="54"/>
      <c r="T302" s="54"/>
      <c r="W302" s="54"/>
      <c r="X302" s="54"/>
      <c r="Y302" s="54"/>
      <c r="AB302" s="54"/>
      <c r="AC302" s="54"/>
      <c r="AD302" s="54"/>
      <c r="AG302" s="54"/>
      <c r="AH302" s="54"/>
      <c r="AI302" s="54"/>
    </row>
    <row r="303" spans="18:35" x14ac:dyDescent="0.2">
      <c r="R303" s="54"/>
      <c r="S303" s="54"/>
      <c r="T303" s="54"/>
      <c r="W303" s="54"/>
      <c r="X303" s="54"/>
      <c r="Y303" s="54"/>
      <c r="AB303" s="54"/>
      <c r="AC303" s="54"/>
      <c r="AD303" s="54"/>
      <c r="AG303" s="54"/>
      <c r="AH303" s="54"/>
      <c r="AI303" s="54"/>
    </row>
    <row r="304" spans="18:35" x14ac:dyDescent="0.2">
      <c r="R304" s="54"/>
      <c r="S304" s="54"/>
      <c r="T304" s="54"/>
      <c r="W304" s="54"/>
      <c r="X304" s="54"/>
      <c r="Y304" s="54"/>
      <c r="AB304" s="54"/>
      <c r="AC304" s="54"/>
      <c r="AD304" s="54"/>
      <c r="AG304" s="54"/>
      <c r="AH304" s="54"/>
      <c r="AI304" s="54"/>
    </row>
    <row r="305" spans="18:35" x14ac:dyDescent="0.2">
      <c r="R305" s="54"/>
      <c r="S305" s="54"/>
      <c r="T305" s="54"/>
      <c r="W305" s="54"/>
      <c r="X305" s="54"/>
      <c r="Y305" s="54"/>
      <c r="AB305" s="54"/>
      <c r="AC305" s="54"/>
      <c r="AD305" s="54"/>
      <c r="AG305" s="54"/>
      <c r="AH305" s="54"/>
      <c r="AI305" s="54"/>
    </row>
    <row r="306" spans="18:35" x14ac:dyDescent="0.2">
      <c r="R306" s="54"/>
      <c r="S306" s="54"/>
      <c r="T306" s="54"/>
      <c r="W306" s="54"/>
      <c r="X306" s="54"/>
      <c r="Y306" s="54"/>
      <c r="AB306" s="54"/>
      <c r="AC306" s="54"/>
      <c r="AD306" s="54"/>
      <c r="AG306" s="54"/>
      <c r="AH306" s="54"/>
      <c r="AI306" s="54"/>
    </row>
    <row r="307" spans="18:35" x14ac:dyDescent="0.2">
      <c r="R307" s="54"/>
      <c r="S307" s="54"/>
      <c r="T307" s="54"/>
      <c r="W307" s="54"/>
      <c r="X307" s="54"/>
      <c r="Y307" s="54"/>
      <c r="AB307" s="54"/>
      <c r="AC307" s="54"/>
      <c r="AD307" s="54"/>
      <c r="AG307" s="54"/>
      <c r="AH307" s="54"/>
      <c r="AI307" s="54"/>
    </row>
    <row r="308" spans="18:35" x14ac:dyDescent="0.2">
      <c r="R308" s="54"/>
      <c r="S308" s="54"/>
      <c r="T308" s="54"/>
      <c r="W308" s="54"/>
      <c r="X308" s="54"/>
      <c r="Y308" s="54"/>
      <c r="AB308" s="54"/>
      <c r="AC308" s="54"/>
      <c r="AD308" s="54"/>
      <c r="AG308" s="54"/>
      <c r="AH308" s="54"/>
      <c r="AI308" s="54"/>
    </row>
    <row r="309" spans="18:35" x14ac:dyDescent="0.2">
      <c r="R309" s="54"/>
      <c r="S309" s="54"/>
      <c r="T309" s="54"/>
      <c r="W309" s="54"/>
      <c r="X309" s="54"/>
      <c r="Y309" s="54"/>
      <c r="AB309" s="54"/>
      <c r="AC309" s="54"/>
      <c r="AD309" s="54"/>
      <c r="AG309" s="54"/>
      <c r="AH309" s="54"/>
      <c r="AI309" s="54"/>
    </row>
    <row r="310" spans="18:35" x14ac:dyDescent="0.2">
      <c r="R310" s="54"/>
      <c r="S310" s="54"/>
      <c r="T310" s="54"/>
      <c r="W310" s="54"/>
      <c r="X310" s="54"/>
      <c r="Y310" s="54"/>
      <c r="AB310" s="54"/>
      <c r="AC310" s="54"/>
      <c r="AD310" s="54"/>
      <c r="AG310" s="54"/>
      <c r="AH310" s="54"/>
      <c r="AI310" s="54"/>
    </row>
    <row r="311" spans="18:35" x14ac:dyDescent="0.2">
      <c r="R311" s="54"/>
      <c r="S311" s="54"/>
      <c r="T311" s="54"/>
      <c r="W311" s="54"/>
      <c r="X311" s="54"/>
      <c r="Y311" s="54"/>
      <c r="AB311" s="54"/>
      <c r="AC311" s="54"/>
      <c r="AD311" s="54"/>
      <c r="AG311" s="54"/>
      <c r="AH311" s="54"/>
      <c r="AI311" s="54"/>
    </row>
    <row r="312" spans="18:35" x14ac:dyDescent="0.2">
      <c r="R312" s="54"/>
      <c r="S312" s="54"/>
      <c r="T312" s="54"/>
      <c r="W312" s="54"/>
      <c r="X312" s="54"/>
      <c r="Y312" s="54"/>
      <c r="AB312" s="54"/>
      <c r="AC312" s="54"/>
      <c r="AD312" s="54"/>
      <c r="AG312" s="54"/>
      <c r="AH312" s="54"/>
      <c r="AI312" s="54"/>
    </row>
    <row r="313" spans="18:35" x14ac:dyDescent="0.2">
      <c r="R313" s="54"/>
      <c r="S313" s="54"/>
      <c r="T313" s="54"/>
      <c r="W313" s="54"/>
      <c r="X313" s="54"/>
      <c r="Y313" s="54"/>
      <c r="AB313" s="54"/>
      <c r="AC313" s="54"/>
      <c r="AD313" s="54"/>
      <c r="AG313" s="54"/>
      <c r="AH313" s="54"/>
      <c r="AI313" s="54"/>
    </row>
    <row r="314" spans="18:35" x14ac:dyDescent="0.2">
      <c r="R314" s="54"/>
      <c r="S314" s="54"/>
      <c r="T314" s="54"/>
      <c r="W314" s="54"/>
      <c r="X314" s="54"/>
      <c r="Y314" s="54"/>
      <c r="AB314" s="54"/>
      <c r="AC314" s="54"/>
      <c r="AD314" s="54"/>
      <c r="AG314" s="54"/>
      <c r="AH314" s="54"/>
      <c r="AI314" s="54"/>
    </row>
    <row r="315" spans="18:35" x14ac:dyDescent="0.2">
      <c r="R315" s="54"/>
      <c r="S315" s="54"/>
      <c r="T315" s="54"/>
      <c r="W315" s="54"/>
      <c r="X315" s="54"/>
      <c r="Y315" s="54"/>
      <c r="AB315" s="54"/>
      <c r="AC315" s="54"/>
      <c r="AD315" s="54"/>
      <c r="AG315" s="54"/>
      <c r="AH315" s="54"/>
      <c r="AI315" s="54"/>
    </row>
    <row r="316" spans="18:35" x14ac:dyDescent="0.2">
      <c r="R316" s="54"/>
      <c r="S316" s="54"/>
      <c r="T316" s="54"/>
      <c r="W316" s="54"/>
      <c r="X316" s="54"/>
      <c r="Y316" s="54"/>
      <c r="AB316" s="54"/>
      <c r="AC316" s="54"/>
      <c r="AD316" s="54"/>
      <c r="AG316" s="54"/>
      <c r="AH316" s="54"/>
      <c r="AI316" s="54"/>
    </row>
    <row r="317" spans="18:35" x14ac:dyDescent="0.2">
      <c r="R317" s="54"/>
      <c r="S317" s="54"/>
      <c r="T317" s="54"/>
      <c r="W317" s="54"/>
      <c r="X317" s="54"/>
      <c r="Y317" s="54"/>
      <c r="AB317" s="54"/>
      <c r="AC317" s="54"/>
      <c r="AD317" s="54"/>
      <c r="AG317" s="54"/>
      <c r="AH317" s="54"/>
      <c r="AI317" s="54"/>
    </row>
    <row r="318" spans="18:35" x14ac:dyDescent="0.2">
      <c r="R318" s="54"/>
      <c r="S318" s="54"/>
      <c r="T318" s="54"/>
      <c r="W318" s="54"/>
      <c r="X318" s="54"/>
      <c r="Y318" s="54"/>
      <c r="AB318" s="54"/>
      <c r="AC318" s="54"/>
      <c r="AD318" s="54"/>
      <c r="AG318" s="54"/>
      <c r="AH318" s="54"/>
      <c r="AI318" s="54"/>
    </row>
    <row r="319" spans="18:35" x14ac:dyDescent="0.2">
      <c r="R319" s="54"/>
      <c r="S319" s="54"/>
      <c r="T319" s="54"/>
      <c r="W319" s="54"/>
      <c r="X319" s="54"/>
      <c r="Y319" s="54"/>
      <c r="AB319" s="54"/>
      <c r="AC319" s="54"/>
      <c r="AD319" s="54"/>
      <c r="AG319" s="54"/>
      <c r="AH319" s="54"/>
      <c r="AI319" s="54"/>
    </row>
    <row r="320" spans="18:35" x14ac:dyDescent="0.2">
      <c r="R320" s="54"/>
      <c r="S320" s="54"/>
      <c r="T320" s="54"/>
      <c r="W320" s="54"/>
      <c r="X320" s="54"/>
      <c r="Y320" s="54"/>
      <c r="AB320" s="54"/>
      <c r="AC320" s="54"/>
      <c r="AD320" s="54"/>
      <c r="AG320" s="54"/>
      <c r="AH320" s="54"/>
      <c r="AI320" s="54"/>
    </row>
    <row r="321" spans="18:35" x14ac:dyDescent="0.2">
      <c r="R321" s="54"/>
      <c r="S321" s="54"/>
      <c r="T321" s="54"/>
      <c r="W321" s="54"/>
      <c r="X321" s="54"/>
      <c r="Y321" s="54"/>
      <c r="AB321" s="54"/>
      <c r="AC321" s="54"/>
      <c r="AD321" s="54"/>
      <c r="AG321" s="54"/>
      <c r="AH321" s="54"/>
      <c r="AI321" s="54"/>
    </row>
    <row r="322" spans="18:35" x14ac:dyDescent="0.2">
      <c r="R322" s="54"/>
      <c r="S322" s="54"/>
      <c r="T322" s="54"/>
      <c r="W322" s="54"/>
      <c r="X322" s="54"/>
      <c r="Y322" s="54"/>
      <c r="AB322" s="54"/>
      <c r="AC322" s="54"/>
      <c r="AD322" s="54"/>
      <c r="AG322" s="54"/>
      <c r="AH322" s="54"/>
      <c r="AI322" s="54"/>
    </row>
    <row r="323" spans="18:35" x14ac:dyDescent="0.2">
      <c r="R323" s="54"/>
      <c r="S323" s="54"/>
      <c r="T323" s="54"/>
      <c r="W323" s="54"/>
      <c r="X323" s="54"/>
      <c r="Y323" s="54"/>
      <c r="AB323" s="54"/>
      <c r="AC323" s="54"/>
      <c r="AD323" s="54"/>
      <c r="AG323" s="54"/>
      <c r="AH323" s="54"/>
      <c r="AI323" s="54"/>
    </row>
    <row r="324" spans="18:35" x14ac:dyDescent="0.2">
      <c r="R324" s="54"/>
      <c r="S324" s="54"/>
      <c r="T324" s="54"/>
      <c r="W324" s="54"/>
      <c r="X324" s="54"/>
      <c r="Y324" s="54"/>
      <c r="AB324" s="54"/>
      <c r="AC324" s="54"/>
      <c r="AD324" s="54"/>
      <c r="AG324" s="54"/>
      <c r="AH324" s="54"/>
      <c r="AI324" s="54"/>
    </row>
    <row r="325" spans="18:35" x14ac:dyDescent="0.2">
      <c r="R325" s="54"/>
      <c r="S325" s="54"/>
      <c r="T325" s="54"/>
      <c r="W325" s="54"/>
      <c r="X325" s="54"/>
      <c r="Y325" s="54"/>
      <c r="AB325" s="54"/>
      <c r="AC325" s="54"/>
      <c r="AD325" s="54"/>
      <c r="AG325" s="54"/>
      <c r="AH325" s="54"/>
      <c r="AI325" s="54"/>
    </row>
    <row r="326" spans="18:35" x14ac:dyDescent="0.2">
      <c r="R326" s="54"/>
      <c r="S326" s="54"/>
      <c r="T326" s="54"/>
      <c r="W326" s="54"/>
      <c r="X326" s="54"/>
      <c r="Y326" s="54"/>
      <c r="AB326" s="54"/>
      <c r="AC326" s="54"/>
      <c r="AD326" s="54"/>
      <c r="AG326" s="54"/>
      <c r="AH326" s="54"/>
      <c r="AI326" s="54"/>
    </row>
    <row r="327" spans="18:35" x14ac:dyDescent="0.2">
      <c r="R327" s="54"/>
      <c r="S327" s="54"/>
      <c r="T327" s="54"/>
      <c r="W327" s="54"/>
      <c r="X327" s="54"/>
      <c r="Y327" s="54"/>
      <c r="AB327" s="54"/>
      <c r="AC327" s="54"/>
      <c r="AD327" s="54"/>
      <c r="AG327" s="54"/>
      <c r="AH327" s="54"/>
      <c r="AI327" s="54"/>
    </row>
    <row r="328" spans="18:35" x14ac:dyDescent="0.2">
      <c r="R328" s="54"/>
      <c r="S328" s="54"/>
      <c r="T328" s="54"/>
      <c r="W328" s="54"/>
      <c r="X328" s="54"/>
      <c r="Y328" s="54"/>
      <c r="AB328" s="54"/>
      <c r="AC328" s="54"/>
      <c r="AD328" s="54"/>
      <c r="AG328" s="54"/>
      <c r="AH328" s="54"/>
      <c r="AI328" s="54"/>
    </row>
    <row r="329" spans="18:35" x14ac:dyDescent="0.2">
      <c r="R329" s="54"/>
      <c r="S329" s="54"/>
      <c r="T329" s="54"/>
      <c r="W329" s="54"/>
      <c r="X329" s="54"/>
      <c r="Y329" s="54"/>
      <c r="AB329" s="54"/>
      <c r="AC329" s="54"/>
      <c r="AD329" s="54"/>
      <c r="AG329" s="54"/>
      <c r="AH329" s="54"/>
      <c r="AI329" s="54"/>
    </row>
    <row r="330" spans="18:35" x14ac:dyDescent="0.2">
      <c r="R330" s="54"/>
      <c r="S330" s="54"/>
      <c r="T330" s="54"/>
      <c r="W330" s="54"/>
      <c r="X330" s="54"/>
      <c r="Y330" s="54"/>
      <c r="AB330" s="54"/>
      <c r="AC330" s="54"/>
      <c r="AD330" s="54"/>
      <c r="AG330" s="54"/>
      <c r="AH330" s="54"/>
      <c r="AI330" s="54"/>
    </row>
    <row r="331" spans="18:35" x14ac:dyDescent="0.2">
      <c r="R331" s="54"/>
      <c r="S331" s="54"/>
      <c r="T331" s="54"/>
      <c r="W331" s="54"/>
      <c r="X331" s="54"/>
      <c r="Y331" s="54"/>
      <c r="AB331" s="54"/>
      <c r="AC331" s="54"/>
      <c r="AD331" s="54"/>
      <c r="AG331" s="54"/>
      <c r="AH331" s="54"/>
      <c r="AI331" s="54"/>
    </row>
    <row r="332" spans="18:35" x14ac:dyDescent="0.2">
      <c r="R332" s="54"/>
      <c r="S332" s="54"/>
      <c r="T332" s="54"/>
      <c r="W332" s="54"/>
      <c r="X332" s="54"/>
      <c r="Y332" s="54"/>
      <c r="AB332" s="54"/>
      <c r="AC332" s="54"/>
      <c r="AD332" s="54"/>
      <c r="AG332" s="54"/>
      <c r="AH332" s="54"/>
      <c r="AI332" s="54"/>
    </row>
    <row r="333" spans="18:35" x14ac:dyDescent="0.2">
      <c r="R333" s="54"/>
      <c r="S333" s="54"/>
      <c r="T333" s="54"/>
      <c r="W333" s="54"/>
      <c r="X333" s="54"/>
      <c r="Y333" s="54"/>
      <c r="AB333" s="54"/>
      <c r="AC333" s="54"/>
      <c r="AD333" s="54"/>
      <c r="AG333" s="54"/>
      <c r="AH333" s="54"/>
      <c r="AI333" s="54"/>
    </row>
    <row r="334" spans="18:35" x14ac:dyDescent="0.2">
      <c r="R334" s="54"/>
      <c r="S334" s="54"/>
      <c r="T334" s="54"/>
      <c r="W334" s="54"/>
      <c r="X334" s="54"/>
      <c r="Y334" s="54"/>
      <c r="AB334" s="54"/>
      <c r="AC334" s="54"/>
      <c r="AD334" s="54"/>
      <c r="AG334" s="54"/>
      <c r="AH334" s="54"/>
      <c r="AI334" s="54"/>
    </row>
    <row r="335" spans="18:35" x14ac:dyDescent="0.2">
      <c r="R335" s="54"/>
      <c r="S335" s="54"/>
      <c r="T335" s="54"/>
      <c r="W335" s="54"/>
      <c r="X335" s="54"/>
      <c r="Y335" s="54"/>
      <c r="AB335" s="54"/>
      <c r="AC335" s="54"/>
      <c r="AD335" s="54"/>
      <c r="AG335" s="54"/>
      <c r="AH335" s="54"/>
      <c r="AI335" s="54"/>
    </row>
    <row r="336" spans="18:35" x14ac:dyDescent="0.2">
      <c r="R336" s="54"/>
      <c r="S336" s="54"/>
      <c r="T336" s="54"/>
      <c r="W336" s="54"/>
      <c r="X336" s="54"/>
      <c r="Y336" s="54"/>
      <c r="AB336" s="54"/>
      <c r="AC336" s="54"/>
      <c r="AD336" s="54"/>
      <c r="AG336" s="54"/>
      <c r="AH336" s="54"/>
      <c r="AI336" s="54"/>
    </row>
    <row r="337" spans="18:35" x14ac:dyDescent="0.2">
      <c r="R337" s="54"/>
      <c r="S337" s="54"/>
      <c r="T337" s="54"/>
      <c r="W337" s="54"/>
      <c r="X337" s="54"/>
      <c r="Y337" s="54"/>
      <c r="AB337" s="54"/>
      <c r="AC337" s="54"/>
      <c r="AD337" s="54"/>
      <c r="AG337" s="54"/>
      <c r="AH337" s="54"/>
      <c r="AI337" s="54"/>
    </row>
    <row r="338" spans="18:35" x14ac:dyDescent="0.2">
      <c r="R338" s="54"/>
      <c r="S338" s="54"/>
      <c r="T338" s="54"/>
      <c r="W338" s="54"/>
      <c r="X338" s="54"/>
      <c r="Y338" s="54"/>
      <c r="AB338" s="54"/>
      <c r="AC338" s="54"/>
      <c r="AD338" s="54"/>
      <c r="AG338" s="54"/>
      <c r="AH338" s="54"/>
      <c r="AI338" s="54"/>
    </row>
    <row r="339" spans="18:35" x14ac:dyDescent="0.2">
      <c r="R339" s="54"/>
      <c r="S339" s="54"/>
      <c r="T339" s="54"/>
      <c r="W339" s="54"/>
      <c r="X339" s="54"/>
      <c r="Y339" s="54"/>
      <c r="AB339" s="54"/>
      <c r="AC339" s="54"/>
      <c r="AD339" s="54"/>
      <c r="AG339" s="54"/>
      <c r="AH339" s="54"/>
      <c r="AI339" s="54"/>
    </row>
    <row r="340" spans="18:35" x14ac:dyDescent="0.2">
      <c r="R340" s="54"/>
      <c r="S340" s="54"/>
      <c r="T340" s="54"/>
      <c r="W340" s="54"/>
      <c r="X340" s="54"/>
      <c r="Y340" s="54"/>
      <c r="AB340" s="54"/>
      <c r="AC340" s="54"/>
      <c r="AD340" s="54"/>
      <c r="AG340" s="54"/>
      <c r="AH340" s="54"/>
      <c r="AI340" s="54"/>
    </row>
    <row r="341" spans="18:35" x14ac:dyDescent="0.2">
      <c r="R341" s="54"/>
      <c r="S341" s="54"/>
      <c r="T341" s="54"/>
      <c r="W341" s="54"/>
      <c r="X341" s="54"/>
      <c r="Y341" s="54"/>
      <c r="AB341" s="54"/>
      <c r="AC341" s="54"/>
      <c r="AD341" s="54"/>
      <c r="AG341" s="54"/>
      <c r="AH341" s="54"/>
      <c r="AI341" s="54"/>
    </row>
    <row r="342" spans="18:35" x14ac:dyDescent="0.2">
      <c r="R342" s="54"/>
      <c r="S342" s="54"/>
      <c r="T342" s="54"/>
      <c r="W342" s="54"/>
      <c r="X342" s="54"/>
      <c r="Y342" s="54"/>
      <c r="AB342" s="54"/>
      <c r="AC342" s="54"/>
      <c r="AD342" s="54"/>
      <c r="AG342" s="54"/>
      <c r="AH342" s="54"/>
      <c r="AI342" s="54"/>
    </row>
    <row r="343" spans="18:35" x14ac:dyDescent="0.2">
      <c r="R343" s="54"/>
      <c r="S343" s="54"/>
      <c r="T343" s="54"/>
      <c r="W343" s="54"/>
      <c r="X343" s="54"/>
      <c r="Y343" s="54"/>
      <c r="AB343" s="54"/>
      <c r="AC343" s="54"/>
      <c r="AD343" s="54"/>
      <c r="AG343" s="54"/>
      <c r="AH343" s="54"/>
      <c r="AI343" s="54"/>
    </row>
    <row r="344" spans="18:35" x14ac:dyDescent="0.2">
      <c r="R344" s="54"/>
      <c r="S344" s="54"/>
      <c r="T344" s="54"/>
      <c r="W344" s="54"/>
      <c r="X344" s="54"/>
      <c r="Y344" s="54"/>
      <c r="AB344" s="54"/>
      <c r="AC344" s="54"/>
      <c r="AD344" s="54"/>
      <c r="AG344" s="54"/>
      <c r="AH344" s="54"/>
      <c r="AI344" s="54"/>
    </row>
    <row r="345" spans="18:35" x14ac:dyDescent="0.2">
      <c r="R345" s="54"/>
      <c r="S345" s="54"/>
      <c r="T345" s="54"/>
      <c r="W345" s="54"/>
      <c r="X345" s="54"/>
      <c r="Y345" s="54"/>
      <c r="AB345" s="54"/>
      <c r="AC345" s="54"/>
      <c r="AD345" s="54"/>
      <c r="AG345" s="54"/>
      <c r="AH345" s="54"/>
      <c r="AI345" s="54"/>
    </row>
    <row r="346" spans="18:35" x14ac:dyDescent="0.2">
      <c r="R346" s="54"/>
      <c r="S346" s="54"/>
      <c r="T346" s="54"/>
      <c r="W346" s="54"/>
      <c r="X346" s="54"/>
      <c r="Y346" s="54"/>
      <c r="AB346" s="54"/>
      <c r="AC346" s="54"/>
      <c r="AD346" s="54"/>
      <c r="AG346" s="54"/>
      <c r="AH346" s="54"/>
      <c r="AI346" s="54"/>
    </row>
    <row r="347" spans="18:35" x14ac:dyDescent="0.2">
      <c r="R347" s="54"/>
      <c r="S347" s="54"/>
      <c r="T347" s="54"/>
      <c r="W347" s="54"/>
      <c r="X347" s="54"/>
      <c r="Y347" s="54"/>
      <c r="AB347" s="54"/>
      <c r="AC347" s="54"/>
      <c r="AD347" s="54"/>
      <c r="AG347" s="54"/>
      <c r="AH347" s="54"/>
      <c r="AI347" s="54"/>
    </row>
    <row r="348" spans="18:35" x14ac:dyDescent="0.2">
      <c r="R348" s="54"/>
      <c r="S348" s="54"/>
      <c r="T348" s="54"/>
      <c r="W348" s="54"/>
      <c r="X348" s="54"/>
      <c r="Y348" s="54"/>
      <c r="AB348" s="54"/>
      <c r="AC348" s="54"/>
      <c r="AD348" s="54"/>
      <c r="AG348" s="54"/>
      <c r="AH348" s="54"/>
      <c r="AI348" s="54"/>
    </row>
    <row r="349" spans="18:35" x14ac:dyDescent="0.2">
      <c r="R349" s="54"/>
      <c r="S349" s="54"/>
      <c r="T349" s="54"/>
      <c r="W349" s="54"/>
      <c r="X349" s="54"/>
      <c r="Y349" s="54"/>
      <c r="AB349" s="54"/>
      <c r="AC349" s="54"/>
      <c r="AD349" s="54"/>
      <c r="AG349" s="54"/>
      <c r="AH349" s="54"/>
      <c r="AI349" s="54"/>
    </row>
    <row r="350" spans="18:35" x14ac:dyDescent="0.2">
      <c r="R350" s="54"/>
      <c r="S350" s="54"/>
      <c r="T350" s="54"/>
      <c r="W350" s="54"/>
      <c r="X350" s="54"/>
      <c r="Y350" s="54"/>
      <c r="AB350" s="54"/>
      <c r="AC350" s="54"/>
      <c r="AD350" s="54"/>
      <c r="AG350" s="54"/>
      <c r="AH350" s="54"/>
      <c r="AI350" s="54"/>
    </row>
    <row r="351" spans="18:35" x14ac:dyDescent="0.2">
      <c r="R351" s="54"/>
      <c r="S351" s="54"/>
      <c r="T351" s="54"/>
      <c r="W351" s="54"/>
      <c r="X351" s="54"/>
      <c r="Y351" s="54"/>
      <c r="AB351" s="54"/>
      <c r="AC351" s="54"/>
      <c r="AD351" s="54"/>
      <c r="AG351" s="54"/>
      <c r="AH351" s="54"/>
      <c r="AI351" s="54"/>
    </row>
    <row r="352" spans="18:35" x14ac:dyDescent="0.2">
      <c r="R352" s="54"/>
      <c r="S352" s="54"/>
      <c r="T352" s="54"/>
      <c r="W352" s="54"/>
      <c r="X352" s="54"/>
      <c r="Y352" s="54"/>
      <c r="AB352" s="54"/>
      <c r="AC352" s="54"/>
      <c r="AD352" s="54"/>
      <c r="AG352" s="54"/>
      <c r="AH352" s="54"/>
      <c r="AI352" s="54"/>
    </row>
    <row r="353" spans="18:35" x14ac:dyDescent="0.2">
      <c r="R353" s="54"/>
      <c r="S353" s="54"/>
      <c r="T353" s="54"/>
      <c r="W353" s="54"/>
      <c r="X353" s="54"/>
      <c r="Y353" s="54"/>
      <c r="AB353" s="54"/>
      <c r="AC353" s="54"/>
      <c r="AD353" s="54"/>
      <c r="AG353" s="54"/>
      <c r="AH353" s="54"/>
      <c r="AI353" s="54"/>
    </row>
    <row r="354" spans="18:35" x14ac:dyDescent="0.2">
      <c r="R354" s="54"/>
      <c r="S354" s="54"/>
      <c r="T354" s="54"/>
      <c r="W354" s="54"/>
      <c r="X354" s="54"/>
      <c r="Y354" s="54"/>
      <c r="AB354" s="54"/>
      <c r="AC354" s="54"/>
      <c r="AD354" s="54"/>
      <c r="AG354" s="54"/>
      <c r="AH354" s="54"/>
      <c r="AI354" s="54"/>
    </row>
    <row r="355" spans="18:35" x14ac:dyDescent="0.2">
      <c r="R355" s="54"/>
      <c r="S355" s="54"/>
      <c r="T355" s="54"/>
      <c r="W355" s="54"/>
      <c r="X355" s="54"/>
      <c r="Y355" s="54"/>
      <c r="AB355" s="54"/>
      <c r="AC355" s="54"/>
      <c r="AD355" s="54"/>
      <c r="AG355" s="54"/>
      <c r="AH355" s="54"/>
      <c r="AI355" s="54"/>
    </row>
    <row r="356" spans="18:35" x14ac:dyDescent="0.2">
      <c r="R356" s="54"/>
      <c r="S356" s="54"/>
      <c r="T356" s="54"/>
      <c r="W356" s="54"/>
      <c r="X356" s="54"/>
      <c r="Y356" s="54"/>
      <c r="AB356" s="54"/>
      <c r="AC356" s="54"/>
      <c r="AD356" s="54"/>
      <c r="AG356" s="54"/>
      <c r="AH356" s="54"/>
      <c r="AI356" s="54"/>
    </row>
    <row r="357" spans="18:35" x14ac:dyDescent="0.2">
      <c r="R357" s="54"/>
      <c r="S357" s="54"/>
      <c r="T357" s="54"/>
      <c r="W357" s="54"/>
      <c r="X357" s="54"/>
      <c r="Y357" s="54"/>
      <c r="AB357" s="54"/>
      <c r="AC357" s="54"/>
      <c r="AD357" s="54"/>
      <c r="AG357" s="54"/>
      <c r="AH357" s="54"/>
      <c r="AI357" s="54"/>
    </row>
    <row r="358" spans="18:35" x14ac:dyDescent="0.2">
      <c r="R358" s="54"/>
      <c r="S358" s="54"/>
      <c r="T358" s="54"/>
      <c r="W358" s="54"/>
      <c r="X358" s="54"/>
      <c r="Y358" s="54"/>
      <c r="AB358" s="54"/>
      <c r="AC358" s="54"/>
      <c r="AD358" s="54"/>
      <c r="AG358" s="54"/>
      <c r="AH358" s="54"/>
      <c r="AI358" s="54"/>
    </row>
    <row r="359" spans="18:35" x14ac:dyDescent="0.2">
      <c r="R359" s="54"/>
      <c r="S359" s="54"/>
      <c r="T359" s="54"/>
      <c r="W359" s="54"/>
      <c r="X359" s="54"/>
      <c r="Y359" s="54"/>
      <c r="AB359" s="54"/>
      <c r="AC359" s="54"/>
      <c r="AD359" s="54"/>
      <c r="AG359" s="54"/>
      <c r="AH359" s="54"/>
      <c r="AI359" s="54"/>
    </row>
    <row r="360" spans="18:35" x14ac:dyDescent="0.2">
      <c r="R360" s="54"/>
      <c r="S360" s="54"/>
      <c r="T360" s="54"/>
      <c r="W360" s="54"/>
      <c r="X360" s="54"/>
      <c r="Y360" s="54"/>
      <c r="AB360" s="54"/>
      <c r="AC360" s="54"/>
      <c r="AD360" s="54"/>
      <c r="AG360" s="54"/>
      <c r="AH360" s="54"/>
      <c r="AI360" s="54"/>
    </row>
    <row r="361" spans="18:35" x14ac:dyDescent="0.2">
      <c r="R361" s="54"/>
      <c r="S361" s="54"/>
      <c r="T361" s="54"/>
      <c r="W361" s="54"/>
      <c r="X361" s="54"/>
      <c r="Y361" s="54"/>
      <c r="AB361" s="54"/>
      <c r="AC361" s="54"/>
      <c r="AD361" s="54"/>
      <c r="AG361" s="54"/>
      <c r="AH361" s="54"/>
      <c r="AI361" s="54"/>
    </row>
    <row r="362" spans="18:35" x14ac:dyDescent="0.2">
      <c r="R362" s="54"/>
      <c r="S362" s="54"/>
      <c r="T362" s="54"/>
      <c r="W362" s="54"/>
      <c r="X362" s="54"/>
      <c r="Y362" s="54"/>
      <c r="AB362" s="54"/>
      <c r="AC362" s="54"/>
      <c r="AD362" s="54"/>
      <c r="AG362" s="54"/>
      <c r="AH362" s="54"/>
      <c r="AI362" s="54"/>
    </row>
    <row r="363" spans="18:35" x14ac:dyDescent="0.2">
      <c r="R363" s="54"/>
      <c r="S363" s="54"/>
      <c r="T363" s="54"/>
      <c r="W363" s="54"/>
      <c r="X363" s="54"/>
      <c r="Y363" s="54"/>
      <c r="AB363" s="54"/>
      <c r="AC363" s="54"/>
      <c r="AD363" s="54"/>
      <c r="AG363" s="54"/>
      <c r="AH363" s="54"/>
      <c r="AI363" s="54"/>
    </row>
    <row r="364" spans="18:35" x14ac:dyDescent="0.2">
      <c r="R364" s="54"/>
      <c r="S364" s="54"/>
      <c r="T364" s="54"/>
      <c r="W364" s="54"/>
      <c r="X364" s="54"/>
      <c r="Y364" s="54"/>
      <c r="AB364" s="54"/>
      <c r="AC364" s="54"/>
      <c r="AD364" s="54"/>
      <c r="AG364" s="54"/>
      <c r="AH364" s="54"/>
      <c r="AI364" s="54"/>
    </row>
    <row r="365" spans="18:35" x14ac:dyDescent="0.2">
      <c r="R365" s="54"/>
      <c r="S365" s="54"/>
      <c r="T365" s="54"/>
      <c r="W365" s="54"/>
      <c r="X365" s="54"/>
      <c r="Y365" s="54"/>
      <c r="AB365" s="54"/>
      <c r="AC365" s="54"/>
      <c r="AD365" s="54"/>
      <c r="AG365" s="54"/>
      <c r="AH365" s="54"/>
      <c r="AI365" s="54"/>
    </row>
    <row r="366" spans="18:35" x14ac:dyDescent="0.2">
      <c r="R366" s="54"/>
      <c r="S366" s="54"/>
      <c r="T366" s="54"/>
      <c r="W366" s="54"/>
      <c r="X366" s="54"/>
      <c r="Y366" s="54"/>
      <c r="AB366" s="54"/>
      <c r="AC366" s="54"/>
      <c r="AD366" s="54"/>
      <c r="AG366" s="54"/>
      <c r="AH366" s="54"/>
      <c r="AI366" s="54"/>
    </row>
    <row r="367" spans="18:35" x14ac:dyDescent="0.2">
      <c r="R367" s="54"/>
      <c r="S367" s="54"/>
      <c r="T367" s="54"/>
      <c r="W367" s="54"/>
      <c r="X367" s="54"/>
      <c r="Y367" s="54"/>
      <c r="AB367" s="54"/>
      <c r="AC367" s="54"/>
      <c r="AD367" s="54"/>
      <c r="AG367" s="54"/>
      <c r="AH367" s="54"/>
      <c r="AI367" s="54"/>
    </row>
    <row r="368" spans="18:35" x14ac:dyDescent="0.2">
      <c r="R368" s="54"/>
      <c r="S368" s="54"/>
      <c r="T368" s="54"/>
      <c r="W368" s="54"/>
      <c r="X368" s="54"/>
      <c r="Y368" s="54"/>
      <c r="AB368" s="54"/>
      <c r="AC368" s="54"/>
      <c r="AD368" s="54"/>
      <c r="AG368" s="54"/>
      <c r="AH368" s="54"/>
      <c r="AI368" s="54"/>
    </row>
    <row r="369" spans="18:35" x14ac:dyDescent="0.2">
      <c r="R369" s="54"/>
      <c r="S369" s="54"/>
      <c r="T369" s="54"/>
      <c r="W369" s="54"/>
      <c r="X369" s="54"/>
      <c r="Y369" s="54"/>
      <c r="AB369" s="54"/>
      <c r="AC369" s="54"/>
      <c r="AD369" s="54"/>
      <c r="AG369" s="54"/>
      <c r="AH369" s="54"/>
      <c r="AI369" s="54"/>
    </row>
    <row r="370" spans="18:35" x14ac:dyDescent="0.2">
      <c r="R370" s="54"/>
      <c r="S370" s="54"/>
      <c r="T370" s="54"/>
      <c r="W370" s="54"/>
      <c r="X370" s="54"/>
      <c r="Y370" s="54"/>
      <c r="AB370" s="54"/>
      <c r="AC370" s="54"/>
      <c r="AD370" s="54"/>
      <c r="AG370" s="54"/>
      <c r="AH370" s="54"/>
      <c r="AI370" s="54"/>
    </row>
    <row r="371" spans="18:35" x14ac:dyDescent="0.2">
      <c r="R371" s="54"/>
      <c r="S371" s="54"/>
      <c r="T371" s="54"/>
      <c r="W371" s="54"/>
      <c r="X371" s="54"/>
      <c r="Y371" s="54"/>
      <c r="AB371" s="54"/>
      <c r="AC371" s="54"/>
      <c r="AD371" s="54"/>
      <c r="AG371" s="54"/>
      <c r="AH371" s="54"/>
      <c r="AI371" s="54"/>
    </row>
    <row r="372" spans="18:35" x14ac:dyDescent="0.2">
      <c r="R372" s="54"/>
      <c r="S372" s="54"/>
      <c r="T372" s="54"/>
      <c r="W372" s="54"/>
      <c r="X372" s="54"/>
      <c r="Y372" s="54"/>
      <c r="AB372" s="54"/>
      <c r="AC372" s="54"/>
      <c r="AD372" s="54"/>
      <c r="AG372" s="54"/>
      <c r="AH372" s="54"/>
      <c r="AI372" s="54"/>
    </row>
    <row r="373" spans="18:35" x14ac:dyDescent="0.2">
      <c r="R373" s="54"/>
      <c r="S373" s="54"/>
      <c r="T373" s="54"/>
      <c r="W373" s="54"/>
      <c r="X373" s="54"/>
      <c r="Y373" s="54"/>
      <c r="AB373" s="54"/>
      <c r="AC373" s="54"/>
      <c r="AD373" s="54"/>
      <c r="AG373" s="54"/>
      <c r="AH373" s="54"/>
      <c r="AI373" s="54"/>
    </row>
    <row r="374" spans="18:35" x14ac:dyDescent="0.2">
      <c r="R374" s="54"/>
      <c r="S374" s="54"/>
      <c r="T374" s="54"/>
      <c r="W374" s="54"/>
      <c r="X374" s="54"/>
      <c r="Y374" s="54"/>
      <c r="AB374" s="54"/>
      <c r="AC374" s="54"/>
      <c r="AD374" s="54"/>
      <c r="AG374" s="54"/>
      <c r="AH374" s="54"/>
      <c r="AI374" s="54"/>
    </row>
    <row r="375" spans="18:35" x14ac:dyDescent="0.2">
      <c r="R375" s="54"/>
      <c r="S375" s="54"/>
      <c r="T375" s="54"/>
      <c r="W375" s="54"/>
      <c r="X375" s="54"/>
      <c r="Y375" s="54"/>
      <c r="AB375" s="54"/>
      <c r="AC375" s="54"/>
      <c r="AD375" s="54"/>
      <c r="AG375" s="54"/>
      <c r="AH375" s="54"/>
      <c r="AI375" s="54"/>
    </row>
    <row r="376" spans="18:35" x14ac:dyDescent="0.2">
      <c r="R376" s="54"/>
      <c r="S376" s="54"/>
      <c r="T376" s="54"/>
      <c r="W376" s="54"/>
      <c r="X376" s="54"/>
      <c r="Y376" s="54"/>
      <c r="AB376" s="54"/>
      <c r="AC376" s="54"/>
      <c r="AD376" s="54"/>
      <c r="AG376" s="54"/>
      <c r="AH376" s="54"/>
      <c r="AI376" s="54"/>
    </row>
    <row r="377" spans="18:35" x14ac:dyDescent="0.2">
      <c r="R377" s="54"/>
      <c r="S377" s="54"/>
      <c r="T377" s="54"/>
      <c r="W377" s="54"/>
      <c r="X377" s="54"/>
      <c r="Y377" s="54"/>
      <c r="AB377" s="54"/>
      <c r="AC377" s="54"/>
      <c r="AD377" s="54"/>
      <c r="AG377" s="54"/>
      <c r="AH377" s="54"/>
      <c r="AI377" s="54"/>
    </row>
    <row r="378" spans="18:35" x14ac:dyDescent="0.2">
      <c r="R378" s="54"/>
      <c r="S378" s="54"/>
      <c r="T378" s="54"/>
      <c r="W378" s="54"/>
      <c r="X378" s="54"/>
      <c r="Y378" s="54"/>
      <c r="AB378" s="54"/>
      <c r="AC378" s="54"/>
      <c r="AD378" s="54"/>
      <c r="AG378" s="54"/>
      <c r="AH378" s="54"/>
      <c r="AI378" s="54"/>
    </row>
    <row r="379" spans="18:35" x14ac:dyDescent="0.2">
      <c r="R379" s="54"/>
      <c r="S379" s="54"/>
      <c r="T379" s="54"/>
      <c r="W379" s="54"/>
      <c r="X379" s="54"/>
      <c r="Y379" s="54"/>
      <c r="AB379" s="54"/>
      <c r="AC379" s="54"/>
      <c r="AD379" s="54"/>
      <c r="AG379" s="54"/>
      <c r="AH379" s="54"/>
      <c r="AI379" s="54"/>
    </row>
    <row r="380" spans="18:35" x14ac:dyDescent="0.2">
      <c r="R380" s="54"/>
      <c r="S380" s="54"/>
      <c r="T380" s="54"/>
      <c r="W380" s="54"/>
      <c r="X380" s="54"/>
      <c r="Y380" s="54"/>
      <c r="AB380" s="54"/>
      <c r="AC380" s="54"/>
      <c r="AD380" s="54"/>
      <c r="AG380" s="54"/>
      <c r="AH380" s="54"/>
      <c r="AI380" s="54"/>
    </row>
    <row r="381" spans="18:35" x14ac:dyDescent="0.2">
      <c r="R381" s="54"/>
      <c r="S381" s="54"/>
      <c r="T381" s="54"/>
      <c r="W381" s="54"/>
      <c r="X381" s="54"/>
      <c r="Y381" s="54"/>
      <c r="AB381" s="54"/>
      <c r="AC381" s="54"/>
      <c r="AD381" s="54"/>
      <c r="AG381" s="54"/>
      <c r="AH381" s="54"/>
      <c r="AI381" s="54"/>
    </row>
    <row r="382" spans="18:35" x14ac:dyDescent="0.2">
      <c r="R382" s="54"/>
      <c r="S382" s="54"/>
      <c r="T382" s="54"/>
      <c r="W382" s="54"/>
      <c r="X382" s="54"/>
      <c r="Y382" s="54"/>
      <c r="AB382" s="54"/>
      <c r="AC382" s="54"/>
      <c r="AD382" s="54"/>
      <c r="AG382" s="54"/>
      <c r="AH382" s="54"/>
      <c r="AI382" s="54"/>
    </row>
    <row r="383" spans="18:35" x14ac:dyDescent="0.2">
      <c r="R383" s="54"/>
      <c r="S383" s="54"/>
      <c r="T383" s="54"/>
      <c r="W383" s="54"/>
      <c r="X383" s="54"/>
      <c r="Y383" s="54"/>
      <c r="AB383" s="54"/>
      <c r="AC383" s="54"/>
      <c r="AD383" s="54"/>
      <c r="AG383" s="54"/>
      <c r="AH383" s="54"/>
      <c r="AI383" s="54"/>
    </row>
    <row r="384" spans="18:35" x14ac:dyDescent="0.2">
      <c r="R384" s="54"/>
      <c r="S384" s="54"/>
      <c r="T384" s="54"/>
      <c r="W384" s="54"/>
      <c r="X384" s="54"/>
      <c r="Y384" s="54"/>
      <c r="AB384" s="54"/>
      <c r="AC384" s="54"/>
      <c r="AD384" s="54"/>
      <c r="AG384" s="54"/>
      <c r="AH384" s="54"/>
      <c r="AI384" s="54"/>
    </row>
    <row r="385" spans="18:35" x14ac:dyDescent="0.2">
      <c r="R385" s="54"/>
      <c r="S385" s="54"/>
      <c r="T385" s="54"/>
      <c r="W385" s="54"/>
      <c r="X385" s="54"/>
      <c r="Y385" s="54"/>
      <c r="AB385" s="54"/>
      <c r="AC385" s="54"/>
      <c r="AD385" s="54"/>
      <c r="AG385" s="54"/>
      <c r="AH385" s="54"/>
      <c r="AI385" s="54"/>
    </row>
    <row r="386" spans="18:35" x14ac:dyDescent="0.2">
      <c r="R386" s="54"/>
      <c r="S386" s="54"/>
      <c r="T386" s="54"/>
      <c r="W386" s="54"/>
      <c r="X386" s="54"/>
      <c r="Y386" s="54"/>
      <c r="AB386" s="54"/>
      <c r="AC386" s="54"/>
      <c r="AD386" s="54"/>
      <c r="AG386" s="54"/>
      <c r="AH386" s="54"/>
      <c r="AI386" s="54"/>
    </row>
    <row r="387" spans="18:35" x14ac:dyDescent="0.2">
      <c r="R387" s="54"/>
      <c r="S387" s="54"/>
      <c r="T387" s="54"/>
      <c r="W387" s="54"/>
      <c r="X387" s="54"/>
      <c r="Y387" s="54"/>
      <c r="AB387" s="54"/>
      <c r="AC387" s="54"/>
      <c r="AD387" s="54"/>
      <c r="AG387" s="54"/>
      <c r="AH387" s="54"/>
      <c r="AI387" s="54"/>
    </row>
    <row r="388" spans="18:35" x14ac:dyDescent="0.2">
      <c r="R388" s="54"/>
      <c r="S388" s="54"/>
      <c r="T388" s="54"/>
      <c r="W388" s="54"/>
      <c r="X388" s="54"/>
      <c r="Y388" s="54"/>
      <c r="AB388" s="54"/>
      <c r="AC388" s="54"/>
      <c r="AD388" s="54"/>
      <c r="AG388" s="54"/>
      <c r="AH388" s="54"/>
      <c r="AI388" s="54"/>
    </row>
    <row r="389" spans="18:35" x14ac:dyDescent="0.2">
      <c r="R389" s="54"/>
      <c r="S389" s="54"/>
      <c r="T389" s="54"/>
      <c r="W389" s="54"/>
      <c r="X389" s="54"/>
      <c r="Y389" s="54"/>
      <c r="AB389" s="54"/>
      <c r="AC389" s="54"/>
      <c r="AD389" s="54"/>
      <c r="AG389" s="54"/>
      <c r="AH389" s="54"/>
      <c r="AI389" s="54"/>
    </row>
    <row r="390" spans="18:35" x14ac:dyDescent="0.2">
      <c r="R390" s="54"/>
      <c r="S390" s="54"/>
      <c r="T390" s="54"/>
      <c r="W390" s="54"/>
      <c r="X390" s="54"/>
      <c r="Y390" s="54"/>
      <c r="AB390" s="54"/>
      <c r="AC390" s="54"/>
      <c r="AD390" s="54"/>
      <c r="AG390" s="54"/>
      <c r="AH390" s="54"/>
      <c r="AI390" s="54"/>
    </row>
    <row r="391" spans="18:35" x14ac:dyDescent="0.2">
      <c r="R391" s="54"/>
      <c r="S391" s="54"/>
      <c r="T391" s="54"/>
      <c r="W391" s="54"/>
      <c r="X391" s="54"/>
      <c r="Y391" s="54"/>
      <c r="AB391" s="54"/>
      <c r="AC391" s="54"/>
      <c r="AD391" s="54"/>
      <c r="AG391" s="54"/>
      <c r="AH391" s="54"/>
      <c r="AI391" s="54"/>
    </row>
    <row r="392" spans="18:35" x14ac:dyDescent="0.2">
      <c r="R392" s="54"/>
      <c r="S392" s="54"/>
      <c r="T392" s="54"/>
      <c r="W392" s="54"/>
      <c r="X392" s="54"/>
      <c r="Y392" s="54"/>
      <c r="AB392" s="54"/>
      <c r="AC392" s="54"/>
      <c r="AD392" s="54"/>
      <c r="AG392" s="54"/>
      <c r="AH392" s="54"/>
      <c r="AI392" s="54"/>
    </row>
    <row r="393" spans="18:35" x14ac:dyDescent="0.2">
      <c r="R393" s="54"/>
      <c r="S393" s="54"/>
      <c r="T393" s="54"/>
      <c r="W393" s="54"/>
      <c r="X393" s="54"/>
      <c r="Y393" s="54"/>
      <c r="AB393" s="54"/>
      <c r="AC393" s="54"/>
      <c r="AD393" s="54"/>
      <c r="AG393" s="54"/>
      <c r="AH393" s="54"/>
      <c r="AI393" s="54"/>
    </row>
    <row r="394" spans="18:35" x14ac:dyDescent="0.2">
      <c r="R394" s="54"/>
      <c r="S394" s="54"/>
      <c r="T394" s="54"/>
      <c r="W394" s="54"/>
      <c r="X394" s="54"/>
      <c r="Y394" s="54"/>
      <c r="AB394" s="54"/>
      <c r="AC394" s="54"/>
      <c r="AD394" s="54"/>
      <c r="AG394" s="54"/>
      <c r="AH394" s="54"/>
      <c r="AI394" s="54"/>
    </row>
    <row r="395" spans="18:35" x14ac:dyDescent="0.2">
      <c r="R395" s="54"/>
      <c r="S395" s="54"/>
      <c r="T395" s="54"/>
      <c r="W395" s="54"/>
      <c r="X395" s="54"/>
      <c r="Y395" s="54"/>
      <c r="AB395" s="54"/>
      <c r="AC395" s="54"/>
      <c r="AD395" s="54"/>
      <c r="AG395" s="54"/>
      <c r="AH395" s="54"/>
      <c r="AI395" s="54"/>
    </row>
    <row r="396" spans="18:35" x14ac:dyDescent="0.2">
      <c r="R396" s="54"/>
      <c r="S396" s="54"/>
      <c r="T396" s="54"/>
      <c r="W396" s="54"/>
      <c r="X396" s="54"/>
      <c r="Y396" s="54"/>
      <c r="AB396" s="54"/>
      <c r="AC396" s="54"/>
      <c r="AD396" s="54"/>
      <c r="AG396" s="54"/>
      <c r="AH396" s="54"/>
      <c r="AI396" s="54"/>
    </row>
    <row r="397" spans="18:35" x14ac:dyDescent="0.2">
      <c r="R397" s="54"/>
      <c r="S397" s="54"/>
      <c r="T397" s="54"/>
      <c r="W397" s="54"/>
      <c r="X397" s="54"/>
      <c r="Y397" s="54"/>
      <c r="AB397" s="54"/>
      <c r="AC397" s="54"/>
      <c r="AD397" s="54"/>
      <c r="AG397" s="54"/>
      <c r="AH397" s="54"/>
      <c r="AI397" s="54"/>
    </row>
    <row r="398" spans="18:35" x14ac:dyDescent="0.2">
      <c r="R398" s="54"/>
      <c r="S398" s="54"/>
      <c r="T398" s="54"/>
      <c r="W398" s="54"/>
      <c r="X398" s="54"/>
      <c r="Y398" s="54"/>
      <c r="AB398" s="54"/>
      <c r="AC398" s="54"/>
      <c r="AD398" s="54"/>
      <c r="AG398" s="54"/>
      <c r="AH398" s="54"/>
      <c r="AI398" s="54"/>
    </row>
    <row r="399" spans="18:35" x14ac:dyDescent="0.2">
      <c r="R399" s="54"/>
      <c r="S399" s="54"/>
      <c r="T399" s="54"/>
      <c r="W399" s="54"/>
      <c r="X399" s="54"/>
      <c r="Y399" s="54"/>
      <c r="AB399" s="54"/>
      <c r="AC399" s="54"/>
      <c r="AD399" s="54"/>
      <c r="AG399" s="54"/>
      <c r="AH399" s="54"/>
      <c r="AI399" s="54"/>
    </row>
    <row r="400" spans="18:35" x14ac:dyDescent="0.2">
      <c r="R400" s="54"/>
      <c r="S400" s="54"/>
      <c r="T400" s="54"/>
      <c r="W400" s="54"/>
      <c r="X400" s="54"/>
      <c r="Y400" s="54"/>
      <c r="AB400" s="54"/>
      <c r="AC400" s="54"/>
      <c r="AD400" s="54"/>
      <c r="AG400" s="54"/>
      <c r="AH400" s="54"/>
      <c r="AI400" s="54"/>
    </row>
    <row r="401" spans="18:35" x14ac:dyDescent="0.2">
      <c r="R401" s="54"/>
      <c r="S401" s="54"/>
      <c r="T401" s="54"/>
      <c r="W401" s="54"/>
      <c r="X401" s="54"/>
      <c r="Y401" s="54"/>
      <c r="AB401" s="54"/>
      <c r="AC401" s="54"/>
      <c r="AD401" s="54"/>
      <c r="AG401" s="54"/>
      <c r="AH401" s="54"/>
      <c r="AI401" s="54"/>
    </row>
    <row r="402" spans="18:35" x14ac:dyDescent="0.2">
      <c r="R402" s="54"/>
      <c r="S402" s="54"/>
      <c r="T402" s="54"/>
      <c r="W402" s="54"/>
      <c r="X402" s="54"/>
      <c r="Y402" s="54"/>
      <c r="AB402" s="54"/>
      <c r="AC402" s="54"/>
      <c r="AD402" s="54"/>
      <c r="AG402" s="54"/>
      <c r="AH402" s="54"/>
      <c r="AI402" s="54"/>
    </row>
    <row r="403" spans="18:35" x14ac:dyDescent="0.2">
      <c r="R403" s="54"/>
      <c r="S403" s="54"/>
      <c r="T403" s="54"/>
      <c r="W403" s="54"/>
      <c r="X403" s="54"/>
      <c r="Y403" s="54"/>
      <c r="AB403" s="54"/>
      <c r="AC403" s="54"/>
      <c r="AD403" s="54"/>
      <c r="AG403" s="54"/>
      <c r="AH403" s="54"/>
      <c r="AI403" s="54"/>
    </row>
    <row r="404" spans="18:35" x14ac:dyDescent="0.2">
      <c r="R404" s="54"/>
      <c r="S404" s="54"/>
      <c r="T404" s="54"/>
      <c r="W404" s="54"/>
      <c r="X404" s="54"/>
      <c r="Y404" s="54"/>
      <c r="AB404" s="54"/>
      <c r="AC404" s="54"/>
      <c r="AD404" s="54"/>
      <c r="AG404" s="54"/>
      <c r="AH404" s="54"/>
      <c r="AI404" s="54"/>
    </row>
    <row r="405" spans="18:35" x14ac:dyDescent="0.2">
      <c r="R405" s="54"/>
      <c r="S405" s="54"/>
      <c r="T405" s="54"/>
      <c r="W405" s="54"/>
      <c r="X405" s="54"/>
      <c r="Y405" s="54"/>
      <c r="AB405" s="54"/>
      <c r="AC405" s="54"/>
      <c r="AD405" s="54"/>
      <c r="AG405" s="54"/>
      <c r="AH405" s="54"/>
      <c r="AI405" s="54"/>
    </row>
    <row r="406" spans="18:35" x14ac:dyDescent="0.2">
      <c r="R406" s="54"/>
      <c r="S406" s="54"/>
      <c r="T406" s="54"/>
      <c r="W406" s="54"/>
      <c r="X406" s="54"/>
      <c r="Y406" s="54"/>
      <c r="AB406" s="54"/>
      <c r="AC406" s="54"/>
      <c r="AD406" s="54"/>
      <c r="AG406" s="54"/>
      <c r="AH406" s="54"/>
      <c r="AI406" s="54"/>
    </row>
    <row r="407" spans="18:35" x14ac:dyDescent="0.2">
      <c r="R407" s="54"/>
      <c r="S407" s="54"/>
      <c r="T407" s="54"/>
      <c r="W407" s="54"/>
      <c r="X407" s="54"/>
      <c r="Y407" s="54"/>
      <c r="AB407" s="54"/>
      <c r="AC407" s="54"/>
      <c r="AD407" s="54"/>
      <c r="AG407" s="54"/>
      <c r="AH407" s="54"/>
      <c r="AI407" s="54"/>
    </row>
    <row r="408" spans="18:35" x14ac:dyDescent="0.2">
      <c r="R408" s="54"/>
      <c r="S408" s="54"/>
      <c r="T408" s="54"/>
      <c r="W408" s="54"/>
      <c r="X408" s="54"/>
      <c r="Y408" s="54"/>
      <c r="AB408" s="54"/>
      <c r="AC408" s="54"/>
      <c r="AD408" s="54"/>
      <c r="AG408" s="54"/>
      <c r="AH408" s="54"/>
      <c r="AI408" s="54"/>
    </row>
    <row r="409" spans="18:35" x14ac:dyDescent="0.2">
      <c r="R409" s="54"/>
      <c r="S409" s="54"/>
      <c r="T409" s="54"/>
      <c r="W409" s="54"/>
      <c r="X409" s="54"/>
      <c r="Y409" s="54"/>
      <c r="AB409" s="54"/>
      <c r="AC409" s="54"/>
      <c r="AD409" s="54"/>
      <c r="AG409" s="54"/>
      <c r="AH409" s="54"/>
      <c r="AI409" s="54"/>
    </row>
    <row r="410" spans="18:35" x14ac:dyDescent="0.2">
      <c r="R410" s="54"/>
      <c r="S410" s="54"/>
      <c r="T410" s="54"/>
      <c r="W410" s="54"/>
      <c r="X410" s="54"/>
      <c r="Y410" s="54"/>
      <c r="AB410" s="54"/>
      <c r="AC410" s="54"/>
      <c r="AD410" s="54"/>
      <c r="AG410" s="54"/>
      <c r="AH410" s="54"/>
      <c r="AI410" s="54"/>
    </row>
    <row r="411" spans="18:35" x14ac:dyDescent="0.2">
      <c r="R411" s="54"/>
      <c r="S411" s="54"/>
      <c r="T411" s="54"/>
      <c r="W411" s="54"/>
      <c r="X411" s="54"/>
      <c r="Y411" s="54"/>
      <c r="AB411" s="54"/>
      <c r="AC411" s="54"/>
      <c r="AD411" s="54"/>
      <c r="AG411" s="54"/>
      <c r="AH411" s="54"/>
      <c r="AI411" s="54"/>
    </row>
    <row r="412" spans="18:35" x14ac:dyDescent="0.2">
      <c r="R412" s="54"/>
      <c r="S412" s="54"/>
      <c r="T412" s="54"/>
      <c r="W412" s="54"/>
      <c r="X412" s="54"/>
      <c r="Y412" s="54"/>
      <c r="AB412" s="54"/>
      <c r="AC412" s="54"/>
      <c r="AD412" s="54"/>
      <c r="AG412" s="54"/>
      <c r="AH412" s="54"/>
      <c r="AI412" s="54"/>
    </row>
    <row r="413" spans="18:35" x14ac:dyDescent="0.2">
      <c r="R413" s="54"/>
      <c r="S413" s="54"/>
      <c r="T413" s="54"/>
      <c r="W413" s="54"/>
      <c r="X413" s="54"/>
      <c r="Y413" s="54"/>
      <c r="AB413" s="54"/>
      <c r="AC413" s="54"/>
      <c r="AD413" s="54"/>
      <c r="AG413" s="54"/>
      <c r="AH413" s="54"/>
      <c r="AI413" s="54"/>
    </row>
    <row r="414" spans="18:35" x14ac:dyDescent="0.2">
      <c r="R414" s="54"/>
      <c r="S414" s="54"/>
      <c r="T414" s="54"/>
      <c r="W414" s="54"/>
      <c r="X414" s="54"/>
      <c r="Y414" s="54"/>
      <c r="AB414" s="54"/>
      <c r="AC414" s="54"/>
      <c r="AD414" s="54"/>
      <c r="AG414" s="54"/>
      <c r="AH414" s="54"/>
      <c r="AI414" s="54"/>
    </row>
    <row r="415" spans="18:35" x14ac:dyDescent="0.2">
      <c r="R415" s="54"/>
      <c r="S415" s="54"/>
      <c r="T415" s="54"/>
      <c r="W415" s="54"/>
      <c r="X415" s="54"/>
      <c r="Y415" s="54"/>
      <c r="AB415" s="54"/>
      <c r="AC415" s="54"/>
      <c r="AD415" s="54"/>
      <c r="AG415" s="54"/>
      <c r="AH415" s="54"/>
      <c r="AI415" s="54"/>
    </row>
    <row r="416" spans="18:35" x14ac:dyDescent="0.2">
      <c r="R416" s="54"/>
      <c r="S416" s="54"/>
      <c r="T416" s="54"/>
      <c r="W416" s="54"/>
      <c r="X416" s="54"/>
      <c r="Y416" s="54"/>
      <c r="AB416" s="54"/>
      <c r="AC416" s="54"/>
      <c r="AD416" s="54"/>
      <c r="AG416" s="54"/>
      <c r="AH416" s="54"/>
      <c r="AI416" s="54"/>
    </row>
    <row r="417" spans="18:35" x14ac:dyDescent="0.2">
      <c r="R417" s="54"/>
      <c r="S417" s="54"/>
      <c r="T417" s="54"/>
      <c r="W417" s="54"/>
      <c r="X417" s="54"/>
      <c r="Y417" s="54"/>
      <c r="AB417" s="54"/>
      <c r="AC417" s="54"/>
      <c r="AD417" s="54"/>
      <c r="AG417" s="54"/>
      <c r="AH417" s="54"/>
      <c r="AI417" s="54"/>
    </row>
    <row r="418" spans="18:35" x14ac:dyDescent="0.2">
      <c r="R418" s="54"/>
      <c r="S418" s="54"/>
      <c r="T418" s="54"/>
      <c r="W418" s="54"/>
      <c r="X418" s="54"/>
      <c r="Y418" s="54"/>
      <c r="AB418" s="54"/>
      <c r="AC418" s="54"/>
      <c r="AD418" s="54"/>
      <c r="AG418" s="54"/>
      <c r="AH418" s="54"/>
      <c r="AI418" s="54"/>
    </row>
    <row r="419" spans="18:35" x14ac:dyDescent="0.2">
      <c r="R419" s="54"/>
      <c r="S419" s="54"/>
      <c r="T419" s="54"/>
      <c r="W419" s="54"/>
      <c r="X419" s="54"/>
      <c r="Y419" s="54"/>
      <c r="AB419" s="54"/>
      <c r="AC419" s="54"/>
      <c r="AD419" s="54"/>
      <c r="AG419" s="54"/>
      <c r="AH419" s="54"/>
      <c r="AI419" s="54"/>
    </row>
    <row r="420" spans="18:35" x14ac:dyDescent="0.2">
      <c r="R420" s="54"/>
      <c r="S420" s="54"/>
      <c r="T420" s="54"/>
      <c r="W420" s="54"/>
      <c r="X420" s="54"/>
      <c r="Y420" s="54"/>
      <c r="AB420" s="54"/>
      <c r="AC420" s="54"/>
      <c r="AD420" s="54"/>
      <c r="AG420" s="54"/>
      <c r="AH420" s="54"/>
      <c r="AI420" s="54"/>
    </row>
    <row r="421" spans="18:35" x14ac:dyDescent="0.2">
      <c r="R421" s="54"/>
      <c r="S421" s="54"/>
      <c r="T421" s="54"/>
      <c r="W421" s="54"/>
      <c r="X421" s="54"/>
      <c r="Y421" s="54"/>
      <c r="AB421" s="54"/>
      <c r="AC421" s="54"/>
      <c r="AD421" s="54"/>
      <c r="AG421" s="54"/>
      <c r="AH421" s="54"/>
      <c r="AI421" s="54"/>
    </row>
    <row r="422" spans="18:35" x14ac:dyDescent="0.2">
      <c r="R422" s="54"/>
      <c r="S422" s="54"/>
      <c r="T422" s="54"/>
      <c r="W422" s="54"/>
      <c r="X422" s="54"/>
      <c r="Y422" s="54"/>
      <c r="AB422" s="54"/>
      <c r="AC422" s="54"/>
      <c r="AD422" s="54"/>
      <c r="AG422" s="54"/>
      <c r="AH422" s="54"/>
      <c r="AI422" s="54"/>
    </row>
    <row r="423" spans="18:35" x14ac:dyDescent="0.2">
      <c r="R423" s="54"/>
      <c r="S423" s="54"/>
      <c r="T423" s="54"/>
      <c r="W423" s="54"/>
      <c r="X423" s="54"/>
      <c r="Y423" s="54"/>
      <c r="AB423" s="54"/>
      <c r="AC423" s="54"/>
      <c r="AD423" s="54"/>
      <c r="AG423" s="54"/>
      <c r="AH423" s="54"/>
      <c r="AI423" s="54"/>
    </row>
    <row r="424" spans="18:35" x14ac:dyDescent="0.2">
      <c r="R424" s="54"/>
      <c r="S424" s="54"/>
      <c r="T424" s="54"/>
      <c r="W424" s="54"/>
      <c r="X424" s="54"/>
      <c r="Y424" s="54"/>
      <c r="AB424" s="54"/>
      <c r="AC424" s="54"/>
      <c r="AD424" s="54"/>
      <c r="AG424" s="54"/>
      <c r="AH424" s="54"/>
      <c r="AI424" s="54"/>
    </row>
    <row r="425" spans="18:35" x14ac:dyDescent="0.2">
      <c r="R425" s="54"/>
      <c r="S425" s="54"/>
      <c r="T425" s="54"/>
      <c r="W425" s="54"/>
      <c r="X425" s="54"/>
      <c r="Y425" s="54"/>
      <c r="AB425" s="54"/>
      <c r="AC425" s="54"/>
      <c r="AD425" s="54"/>
      <c r="AG425" s="54"/>
      <c r="AH425" s="54"/>
      <c r="AI425" s="54"/>
    </row>
    <row r="426" spans="18:35" x14ac:dyDescent="0.2">
      <c r="R426" s="54"/>
      <c r="S426" s="54"/>
      <c r="T426" s="54"/>
      <c r="W426" s="54"/>
      <c r="X426" s="54"/>
      <c r="Y426" s="54"/>
      <c r="AB426" s="54"/>
      <c r="AC426" s="54"/>
      <c r="AD426" s="54"/>
      <c r="AG426" s="54"/>
      <c r="AH426" s="54"/>
      <c r="AI426" s="54"/>
    </row>
    <row r="427" spans="18:35" x14ac:dyDescent="0.2">
      <c r="R427" s="54"/>
      <c r="S427" s="54"/>
      <c r="T427" s="54"/>
      <c r="W427" s="54"/>
      <c r="X427" s="54"/>
      <c r="Y427" s="54"/>
      <c r="AB427" s="54"/>
      <c r="AC427" s="54"/>
      <c r="AD427" s="54"/>
      <c r="AG427" s="54"/>
      <c r="AH427" s="54"/>
      <c r="AI427" s="54"/>
    </row>
    <row r="428" spans="18:35" x14ac:dyDescent="0.2">
      <c r="R428" s="54"/>
      <c r="S428" s="54"/>
      <c r="T428" s="54"/>
      <c r="W428" s="54"/>
      <c r="X428" s="54"/>
      <c r="Y428" s="54"/>
      <c r="AB428" s="54"/>
      <c r="AC428" s="54"/>
      <c r="AD428" s="54"/>
      <c r="AG428" s="54"/>
      <c r="AH428" s="54"/>
      <c r="AI428" s="54"/>
    </row>
    <row r="429" spans="18:35" x14ac:dyDescent="0.2">
      <c r="R429" s="54"/>
      <c r="S429" s="54"/>
      <c r="T429" s="54"/>
      <c r="W429" s="54"/>
      <c r="X429" s="54"/>
      <c r="Y429" s="54"/>
      <c r="AB429" s="54"/>
      <c r="AC429" s="54"/>
      <c r="AD429" s="54"/>
      <c r="AG429" s="54"/>
      <c r="AH429" s="54"/>
      <c r="AI429" s="54"/>
    </row>
    <row r="430" spans="18:35" x14ac:dyDescent="0.2">
      <c r="R430" s="54"/>
      <c r="S430" s="54"/>
      <c r="T430" s="54"/>
      <c r="W430" s="54"/>
      <c r="X430" s="54"/>
      <c r="Y430" s="54"/>
      <c r="AB430" s="54"/>
      <c r="AC430" s="54"/>
      <c r="AD430" s="54"/>
      <c r="AG430" s="54"/>
      <c r="AH430" s="54"/>
      <c r="AI430" s="54"/>
    </row>
    <row r="431" spans="18:35" x14ac:dyDescent="0.2">
      <c r="R431" s="54"/>
      <c r="S431" s="54"/>
      <c r="T431" s="54"/>
      <c r="W431" s="54"/>
      <c r="X431" s="54"/>
      <c r="Y431" s="54"/>
      <c r="AB431" s="54"/>
      <c r="AC431" s="54"/>
      <c r="AD431" s="54"/>
      <c r="AG431" s="54"/>
      <c r="AH431" s="54"/>
      <c r="AI431" s="54"/>
    </row>
    <row r="432" spans="18:35" x14ac:dyDescent="0.2">
      <c r="R432" s="54"/>
      <c r="S432" s="54"/>
      <c r="T432" s="54"/>
      <c r="W432" s="54"/>
      <c r="X432" s="54"/>
      <c r="Y432" s="54"/>
      <c r="AB432" s="54"/>
      <c r="AC432" s="54"/>
      <c r="AD432" s="54"/>
      <c r="AG432" s="54"/>
      <c r="AH432" s="54"/>
      <c r="AI432" s="54"/>
    </row>
    <row r="433" spans="18:35" x14ac:dyDescent="0.2">
      <c r="R433" s="54"/>
      <c r="S433" s="54"/>
      <c r="T433" s="54"/>
      <c r="W433" s="54"/>
      <c r="X433" s="54"/>
      <c r="Y433" s="54"/>
      <c r="AB433" s="54"/>
      <c r="AC433" s="54"/>
      <c r="AD433" s="54"/>
      <c r="AG433" s="54"/>
      <c r="AH433" s="54"/>
      <c r="AI433" s="54"/>
    </row>
    <row r="434" spans="18:35" x14ac:dyDescent="0.2">
      <c r="R434" s="54"/>
      <c r="S434" s="54"/>
      <c r="T434" s="54"/>
      <c r="W434" s="54"/>
      <c r="X434" s="54"/>
      <c r="Y434" s="54"/>
      <c r="AB434" s="54"/>
      <c r="AC434" s="54"/>
      <c r="AD434" s="54"/>
      <c r="AG434" s="54"/>
      <c r="AH434" s="54"/>
      <c r="AI434" s="54"/>
    </row>
    <row r="435" spans="18:35" x14ac:dyDescent="0.2">
      <c r="R435" s="54"/>
      <c r="S435" s="54"/>
      <c r="T435" s="54"/>
      <c r="W435" s="54"/>
      <c r="X435" s="54"/>
      <c r="Y435" s="54"/>
      <c r="AB435" s="54"/>
      <c r="AC435" s="54"/>
      <c r="AD435" s="54"/>
      <c r="AG435" s="54"/>
      <c r="AH435" s="54"/>
      <c r="AI435" s="54"/>
    </row>
    <row r="436" spans="18:35" x14ac:dyDescent="0.2">
      <c r="R436" s="54"/>
      <c r="S436" s="54"/>
      <c r="T436" s="54"/>
      <c r="W436" s="54"/>
      <c r="X436" s="54"/>
      <c r="Y436" s="54"/>
      <c r="AB436" s="54"/>
      <c r="AC436" s="54"/>
      <c r="AD436" s="54"/>
      <c r="AG436" s="54"/>
      <c r="AH436" s="54"/>
      <c r="AI436" s="54"/>
    </row>
    <row r="437" spans="18:35" x14ac:dyDescent="0.2">
      <c r="R437" s="54"/>
      <c r="S437" s="54"/>
      <c r="T437" s="54"/>
      <c r="W437" s="54"/>
      <c r="X437" s="54"/>
      <c r="Y437" s="54"/>
      <c r="AB437" s="54"/>
      <c r="AC437" s="54"/>
      <c r="AD437" s="54"/>
      <c r="AG437" s="54"/>
      <c r="AH437" s="54"/>
      <c r="AI437" s="54"/>
    </row>
    <row r="438" spans="18:35" x14ac:dyDescent="0.2">
      <c r="R438" s="54"/>
      <c r="S438" s="54"/>
      <c r="T438" s="54"/>
      <c r="W438" s="54"/>
      <c r="X438" s="54"/>
      <c r="Y438" s="54"/>
      <c r="AB438" s="54"/>
      <c r="AC438" s="54"/>
      <c r="AD438" s="54"/>
      <c r="AG438" s="54"/>
      <c r="AH438" s="54"/>
      <c r="AI438" s="54"/>
    </row>
    <row r="439" spans="18:35" x14ac:dyDescent="0.2">
      <c r="R439" s="54"/>
      <c r="S439" s="54"/>
      <c r="T439" s="54"/>
      <c r="W439" s="54"/>
      <c r="X439" s="54"/>
      <c r="Y439" s="54"/>
      <c r="AB439" s="54"/>
      <c r="AC439" s="54"/>
      <c r="AD439" s="54"/>
      <c r="AG439" s="54"/>
      <c r="AH439" s="54"/>
      <c r="AI439" s="54"/>
    </row>
    <row r="440" spans="18:35" x14ac:dyDescent="0.2">
      <c r="R440" s="54"/>
      <c r="S440" s="54"/>
      <c r="T440" s="54"/>
      <c r="W440" s="54"/>
      <c r="X440" s="54"/>
      <c r="Y440" s="54"/>
      <c r="AB440" s="54"/>
      <c r="AC440" s="54"/>
      <c r="AD440" s="54"/>
      <c r="AG440" s="54"/>
      <c r="AH440" s="54"/>
      <c r="AI440" s="54"/>
    </row>
    <row r="441" spans="18:35" x14ac:dyDescent="0.2">
      <c r="R441" s="54"/>
      <c r="S441" s="54"/>
      <c r="T441" s="54"/>
      <c r="W441" s="54"/>
      <c r="X441" s="54"/>
      <c r="Y441" s="54"/>
      <c r="AB441" s="54"/>
      <c r="AC441" s="54"/>
      <c r="AD441" s="54"/>
      <c r="AG441" s="54"/>
      <c r="AH441" s="54"/>
      <c r="AI441" s="54"/>
    </row>
    <row r="442" spans="18:35" x14ac:dyDescent="0.2">
      <c r="R442" s="54"/>
      <c r="S442" s="54"/>
      <c r="T442" s="54"/>
      <c r="W442" s="54"/>
      <c r="X442" s="54"/>
      <c r="Y442" s="54"/>
      <c r="AB442" s="54"/>
      <c r="AC442" s="54"/>
      <c r="AD442" s="54"/>
      <c r="AG442" s="54"/>
      <c r="AH442" s="54"/>
      <c r="AI442" s="54"/>
    </row>
    <row r="443" spans="18:35" x14ac:dyDescent="0.2">
      <c r="R443" s="54"/>
      <c r="S443" s="54"/>
      <c r="T443" s="54"/>
      <c r="W443" s="54"/>
      <c r="X443" s="54"/>
      <c r="Y443" s="54"/>
      <c r="AB443" s="54"/>
      <c r="AC443" s="54"/>
      <c r="AD443" s="54"/>
      <c r="AG443" s="54"/>
      <c r="AH443" s="54"/>
      <c r="AI443" s="54"/>
    </row>
    <row r="444" spans="18:35" x14ac:dyDescent="0.2">
      <c r="R444" s="54"/>
      <c r="S444" s="54"/>
      <c r="T444" s="54"/>
      <c r="W444" s="54"/>
      <c r="X444" s="54"/>
      <c r="Y444" s="54"/>
      <c r="AB444" s="54"/>
      <c r="AC444" s="54"/>
      <c r="AD444" s="54"/>
      <c r="AG444" s="54"/>
      <c r="AH444" s="54"/>
      <c r="AI444" s="54"/>
    </row>
    <row r="445" spans="18:35" x14ac:dyDescent="0.2">
      <c r="R445" s="54"/>
      <c r="S445" s="54"/>
      <c r="T445" s="54"/>
      <c r="W445" s="54"/>
      <c r="X445" s="54"/>
      <c r="Y445" s="54"/>
      <c r="AB445" s="54"/>
      <c r="AC445" s="54"/>
      <c r="AD445" s="54"/>
      <c r="AG445" s="54"/>
      <c r="AH445" s="54"/>
      <c r="AI445" s="54"/>
    </row>
    <row r="446" spans="18:35" x14ac:dyDescent="0.2">
      <c r="R446" s="54"/>
      <c r="S446" s="54"/>
      <c r="T446" s="54"/>
      <c r="W446" s="54"/>
      <c r="X446" s="54"/>
      <c r="Y446" s="54"/>
      <c r="AB446" s="54"/>
      <c r="AC446" s="54"/>
      <c r="AD446" s="54"/>
      <c r="AG446" s="54"/>
      <c r="AH446" s="54"/>
      <c r="AI446" s="54"/>
    </row>
    <row r="447" spans="18:35" x14ac:dyDescent="0.2">
      <c r="R447" s="54"/>
      <c r="S447" s="54"/>
      <c r="T447" s="54"/>
      <c r="W447" s="54"/>
      <c r="X447" s="54"/>
      <c r="Y447" s="54"/>
      <c r="AB447" s="54"/>
      <c r="AC447" s="54"/>
      <c r="AD447" s="54"/>
      <c r="AG447" s="54"/>
      <c r="AH447" s="54"/>
      <c r="AI447" s="54"/>
    </row>
    <row r="448" spans="18:35" x14ac:dyDescent="0.2">
      <c r="R448" s="54"/>
      <c r="S448" s="54"/>
      <c r="T448" s="54"/>
      <c r="W448" s="54"/>
      <c r="X448" s="54"/>
      <c r="Y448" s="54"/>
      <c r="AB448" s="54"/>
      <c r="AC448" s="54"/>
      <c r="AD448" s="54"/>
      <c r="AG448" s="54"/>
      <c r="AH448" s="54"/>
      <c r="AI448" s="54"/>
    </row>
    <row r="449" spans="18:35" x14ac:dyDescent="0.2">
      <c r="R449" s="54"/>
      <c r="S449" s="54"/>
      <c r="T449" s="54"/>
      <c r="W449" s="54"/>
      <c r="X449" s="54"/>
      <c r="Y449" s="54"/>
      <c r="AB449" s="54"/>
      <c r="AC449" s="54"/>
      <c r="AD449" s="54"/>
      <c r="AG449" s="54"/>
      <c r="AH449" s="54"/>
      <c r="AI449" s="54"/>
    </row>
    <row r="450" spans="18:35" x14ac:dyDescent="0.2">
      <c r="R450" s="54"/>
      <c r="S450" s="54"/>
      <c r="T450" s="54"/>
      <c r="W450" s="54"/>
      <c r="X450" s="54"/>
      <c r="Y450" s="54"/>
      <c r="AB450" s="54"/>
      <c r="AC450" s="54"/>
      <c r="AD450" s="54"/>
      <c r="AG450" s="54"/>
      <c r="AH450" s="54"/>
      <c r="AI450" s="54"/>
    </row>
    <row r="451" spans="18:35" x14ac:dyDescent="0.2">
      <c r="R451" s="54"/>
      <c r="S451" s="54"/>
      <c r="T451" s="54"/>
      <c r="W451" s="54"/>
      <c r="X451" s="54"/>
      <c r="Y451" s="54"/>
      <c r="AB451" s="54"/>
      <c r="AC451" s="54"/>
      <c r="AD451" s="54"/>
      <c r="AG451" s="54"/>
      <c r="AH451" s="54"/>
      <c r="AI451" s="54"/>
    </row>
    <row r="452" spans="18:35" x14ac:dyDescent="0.2">
      <c r="R452" s="54"/>
      <c r="S452" s="54"/>
      <c r="T452" s="54"/>
      <c r="W452" s="54"/>
      <c r="X452" s="54"/>
      <c r="Y452" s="54"/>
      <c r="AB452" s="54"/>
      <c r="AC452" s="54"/>
      <c r="AD452" s="54"/>
      <c r="AG452" s="54"/>
      <c r="AH452" s="54"/>
      <c r="AI452" s="54"/>
    </row>
    <row r="453" spans="18:35" x14ac:dyDescent="0.2">
      <c r="R453" s="54"/>
      <c r="S453" s="54"/>
      <c r="T453" s="54"/>
      <c r="W453" s="54"/>
      <c r="X453" s="54"/>
      <c r="Y453" s="54"/>
      <c r="AB453" s="54"/>
      <c r="AC453" s="54"/>
      <c r="AD453" s="54"/>
      <c r="AG453" s="54"/>
      <c r="AH453" s="54"/>
      <c r="AI453" s="54"/>
    </row>
    <row r="454" spans="18:35" x14ac:dyDescent="0.2">
      <c r="R454" s="54"/>
      <c r="S454" s="54"/>
      <c r="T454" s="54"/>
      <c r="W454" s="54"/>
      <c r="X454" s="54"/>
      <c r="Y454" s="54"/>
      <c r="AB454" s="54"/>
      <c r="AC454" s="54"/>
      <c r="AD454" s="54"/>
      <c r="AG454" s="54"/>
      <c r="AH454" s="54"/>
      <c r="AI454" s="54"/>
    </row>
    <row r="455" spans="18:35" x14ac:dyDescent="0.2">
      <c r="R455" s="54"/>
      <c r="S455" s="54"/>
      <c r="T455" s="54"/>
      <c r="W455" s="54"/>
      <c r="X455" s="54"/>
      <c r="Y455" s="54"/>
      <c r="AB455" s="54"/>
      <c r="AC455" s="54"/>
      <c r="AD455" s="54"/>
      <c r="AG455" s="54"/>
      <c r="AH455" s="54"/>
      <c r="AI455" s="54"/>
    </row>
    <row r="456" spans="18:35" x14ac:dyDescent="0.2">
      <c r="R456" s="54"/>
      <c r="S456" s="54"/>
      <c r="T456" s="54"/>
      <c r="W456" s="54"/>
      <c r="X456" s="54"/>
      <c r="Y456" s="54"/>
      <c r="AB456" s="54"/>
      <c r="AC456" s="54"/>
      <c r="AD456" s="54"/>
      <c r="AG456" s="54"/>
      <c r="AH456" s="54"/>
      <c r="AI456" s="54"/>
    </row>
    <row r="457" spans="18:35" x14ac:dyDescent="0.2">
      <c r="AG457" s="54"/>
      <c r="AH457" s="54"/>
      <c r="AI457" s="54"/>
    </row>
  </sheetData>
  <sheetProtection algorithmName="SHA-512" hashValue="LuMi5JKQoEbHFolvfoY33ZCHLWAengPhdzvNG2LZ4iKaWlkCv2mIE5XiL7YvUCahCdbj3iJVZbNU6vdGgYxKxA==" saltValue="uXnht86mJ+Lzi0OBfJLlUg==" spinCount="100000" sheet="1" objects="1" scenarios="1" selectLockedCells="1"/>
  <mergeCells count="5">
    <mergeCell ref="F69:H69"/>
    <mergeCell ref="O3:P3"/>
    <mergeCell ref="A1:Q1"/>
    <mergeCell ref="F82:G82"/>
    <mergeCell ref="L35:Q36"/>
  </mergeCells>
  <phoneticPr fontId="5" type="noConversion"/>
  <conditionalFormatting sqref="E7 E9">
    <cfRule type="cellIs" dxfId="29" priority="39" stopIfTrue="1" operator="notBetween">
      <formula>3.5</formula>
      <formula>VIN_MAX_RATING</formula>
    </cfRule>
  </conditionalFormatting>
  <conditionalFormatting sqref="E10">
    <cfRule type="cellIs" dxfId="28" priority="36" stopIfTrue="1" operator="notBetween">
      <formula>0.6</formula>
      <formula>VOUT_MAX_RATING</formula>
    </cfRule>
  </conditionalFormatting>
  <conditionalFormatting sqref="E33">
    <cfRule type="cellIs" dxfId="27" priority="34" stopIfTrue="1" operator="lessThanOrEqual">
      <formula>0</formula>
    </cfRule>
  </conditionalFormatting>
  <conditionalFormatting sqref="E35">
    <cfRule type="cellIs" dxfId="26" priority="33" stopIfTrue="1" operator="lessThan">
      <formula>$E$34</formula>
    </cfRule>
  </conditionalFormatting>
  <conditionalFormatting sqref="E37">
    <cfRule type="cellIs" dxfId="25" priority="32" stopIfTrue="1" operator="greaterThan">
      <formula>$E$36</formula>
    </cfRule>
  </conditionalFormatting>
  <conditionalFormatting sqref="E42">
    <cfRule type="cellIs" dxfId="24" priority="30" stopIfTrue="1" operator="equal">
      <formula>0</formula>
    </cfRule>
  </conditionalFormatting>
  <conditionalFormatting sqref="E44">
    <cfRule type="cellIs" dxfId="23" priority="29" stopIfTrue="1" operator="lessThan">
      <formula>$E$43</formula>
    </cfRule>
  </conditionalFormatting>
  <conditionalFormatting sqref="E46">
    <cfRule type="cellIs" dxfId="22" priority="27" stopIfTrue="1" operator="greaterThan">
      <formula>$E$45</formula>
    </cfRule>
    <cfRule type="cellIs" dxfId="21" priority="28" stopIfTrue="1" operator="equal">
      <formula>0</formula>
    </cfRule>
  </conditionalFormatting>
  <conditionalFormatting sqref="E51">
    <cfRule type="cellIs" dxfId="20" priority="23" operator="lessThan">
      <formula>0.1</formula>
    </cfRule>
  </conditionalFormatting>
  <conditionalFormatting sqref="E12">
    <cfRule type="cellIs" dxfId="19" priority="42" stopIfTrue="1" operator="notBetween">
      <formula>2500</formula>
      <formula>100</formula>
    </cfRule>
  </conditionalFormatting>
  <conditionalFormatting sqref="E55">
    <cfRule type="expression" dxfId="18" priority="21">
      <formula>DITHER=2</formula>
    </cfRule>
  </conditionalFormatting>
  <conditionalFormatting sqref="D56">
    <cfRule type="expression" dxfId="17" priority="20">
      <formula>DITHER=2</formula>
    </cfRule>
  </conditionalFormatting>
  <conditionalFormatting sqref="D55">
    <cfRule type="expression" dxfId="16" priority="19">
      <formula>DITHER=2</formula>
    </cfRule>
  </conditionalFormatting>
  <conditionalFormatting sqref="E8">
    <cfRule type="cellIs" dxfId="15" priority="43" operator="notBetween">
      <formula>$E$7</formula>
      <formula>$E$9</formula>
    </cfRule>
  </conditionalFormatting>
  <conditionalFormatting sqref="J10">
    <cfRule type="cellIs" dxfId="14" priority="16" stopIfTrue="1" operator="notBetween">
      <formula>0.6</formula>
      <formula>VOUT_MAX_RATING</formula>
    </cfRule>
  </conditionalFormatting>
  <conditionalFormatting sqref="J33">
    <cfRule type="cellIs" dxfId="13" priority="15" stopIfTrue="1" operator="lessThanOrEqual">
      <formula>0</formula>
    </cfRule>
  </conditionalFormatting>
  <conditionalFormatting sqref="J35">
    <cfRule type="cellIs" dxfId="12" priority="14" stopIfTrue="1" operator="lessThan">
      <formula>$J$34</formula>
    </cfRule>
  </conditionalFormatting>
  <conditionalFormatting sqref="J37">
    <cfRule type="cellIs" dxfId="11" priority="13" stopIfTrue="1" operator="greaterThan">
      <formula>$J$36</formula>
    </cfRule>
  </conditionalFormatting>
  <conditionalFormatting sqref="E53">
    <cfRule type="cellIs" dxfId="10" priority="12" operator="lessThan">
      <formula>0</formula>
    </cfRule>
  </conditionalFormatting>
  <conditionalFormatting sqref="A73:G75">
    <cfRule type="expression" dxfId="9" priority="11">
      <formula>MODE=2</formula>
    </cfRule>
  </conditionalFormatting>
  <conditionalFormatting sqref="G61:K66 G33:K39 G17:K24 G27:K30 G10:K11">
    <cfRule type="expression" dxfId="8" priority="8">
      <formula>MODE=2</formula>
    </cfRule>
  </conditionalFormatting>
  <conditionalFormatting sqref="D65">
    <cfRule type="expression" dxfId="7" priority="9">
      <formula>OR((Ch1_VOUT=1),(Ch1_VOUT=2))</formula>
    </cfRule>
  </conditionalFormatting>
  <conditionalFormatting sqref="I65">
    <cfRule type="expression" dxfId="6" priority="10">
      <formula>OR((Ch2_VOUT=1),(Ch2_VOUT=2))</formula>
    </cfRule>
  </conditionalFormatting>
  <conditionalFormatting sqref="E65:F66">
    <cfRule type="expression" dxfId="5" priority="7">
      <formula>OR((Ch1_VOUT=1),(Ch1_VOUT=2))</formula>
    </cfRule>
  </conditionalFormatting>
  <conditionalFormatting sqref="J65:K66">
    <cfRule type="expression" dxfId="4" priority="6">
      <formula>OR((Ch2_VOUT=1),(Ch2_VOUT=2))</formula>
    </cfRule>
  </conditionalFormatting>
  <conditionalFormatting sqref="F97:F98">
    <cfRule type="expression" dxfId="3" priority="5">
      <formula>MODE=2</formula>
    </cfRule>
  </conditionalFormatting>
  <conditionalFormatting sqref="D81 G80">
    <cfRule type="expression" dxfId="2" priority="4">
      <formula>MODE=2</formula>
    </cfRule>
  </conditionalFormatting>
  <conditionalFormatting sqref="H80:J94">
    <cfRule type="expression" dxfId="1" priority="2">
      <formula>MODE=2</formula>
    </cfRule>
  </conditionalFormatting>
  <conditionalFormatting sqref="D19:F19 D21:F21 D18:F18 I18:K18 I19:K19 I21:K21">
    <cfRule type="expression" dxfId="0" priority="1">
      <formula>SENSING_TYPE=2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4" orientation="portrait" r:id="rId3"/>
  <headerFooter alignWithMargins="0"/>
  <rowBreaks count="1" manualBreakCount="1">
    <brk id="109" max="16383" man="1"/>
  </rowBreaks>
  <ignoredErrors>
    <ignoredError sqref="E68"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00372" r:id="rId7" name="Drop Down 3028">
              <controlPr defaultSize="0" autoLine="0" autoPict="0">
                <anchor moveWithCells="1">
                  <from>
                    <xdr:col>16</xdr:col>
                    <xdr:colOff>4819650</xdr:colOff>
                    <xdr:row>0</xdr:row>
                    <xdr:rowOff>476250</xdr:rowOff>
                  </from>
                  <to>
                    <xdr:col>16</xdr:col>
                    <xdr:colOff>5200650</xdr:colOff>
                    <xdr:row>1</xdr:row>
                    <xdr:rowOff>133350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314325</xdr:colOff>
                    <xdr:row>69</xdr:row>
                    <xdr:rowOff>76200</xdr:rowOff>
                  </from>
                  <to>
                    <xdr:col>2</xdr:col>
                    <xdr:colOff>895350</xdr:colOff>
                    <xdr:row>71</xdr:row>
                    <xdr:rowOff>133350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314325</xdr:colOff>
                    <xdr:row>69</xdr:row>
                    <xdr:rowOff>76200</xdr:rowOff>
                  </from>
                  <to>
                    <xdr:col>2</xdr:col>
                    <xdr:colOff>895350</xdr:colOff>
                    <xdr:row>71</xdr:row>
                    <xdr:rowOff>133350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9525</xdr:colOff>
                    <xdr:row>62</xdr:row>
                    <xdr:rowOff>0</xdr:rowOff>
                  </from>
                  <to>
                    <xdr:col>5</xdr:col>
                    <xdr:colOff>180975</xdr:colOff>
                    <xdr:row>62</xdr:row>
                    <xdr:rowOff>180975</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123825</xdr:colOff>
                    <xdr:row>7</xdr:row>
                    <xdr:rowOff>9525</xdr:rowOff>
                  </from>
                  <to>
                    <xdr:col>5</xdr:col>
                    <xdr:colOff>304800</xdr:colOff>
                    <xdr:row>8</xdr:row>
                    <xdr:rowOff>19050</xdr:rowOff>
                  </to>
                </anchor>
              </controlPr>
            </control>
          </mc:Choice>
        </mc:AlternateContent>
        <mc:AlternateContent xmlns:mc="http://schemas.openxmlformats.org/markup-compatibility/2006">
          <mc:Choice Requires="x14">
            <control shapeId="672924" r:id="rId12" name="Drop Down 156">
              <controlPr defaultSize="0" autoLine="0" autoPict="0">
                <anchor>
                  <from>
                    <xdr:col>11</xdr:col>
                    <xdr:colOff>371475</xdr:colOff>
                    <xdr:row>77</xdr:row>
                    <xdr:rowOff>28575</xdr:rowOff>
                  </from>
                  <to>
                    <xdr:col>13</xdr:col>
                    <xdr:colOff>428625</xdr:colOff>
                    <xdr:row>78</xdr:row>
                    <xdr:rowOff>104775</xdr:rowOff>
                  </to>
                </anchor>
              </controlPr>
            </control>
          </mc:Choice>
        </mc:AlternateContent>
        <mc:AlternateContent xmlns:mc="http://schemas.openxmlformats.org/markup-compatibility/2006">
          <mc:Choice Requires="x14">
            <control shapeId="673029" r:id="rId13" name="Drop Down 261">
              <controlPr defaultSize="0" autoLine="0" autoPict="0">
                <anchor moveWithCells="1">
                  <from>
                    <xdr:col>0</xdr:col>
                    <xdr:colOff>9525</xdr:colOff>
                    <xdr:row>54</xdr:row>
                    <xdr:rowOff>0</xdr:rowOff>
                  </from>
                  <to>
                    <xdr:col>1</xdr:col>
                    <xdr:colOff>476250</xdr:colOff>
                    <xdr:row>55</xdr:row>
                    <xdr:rowOff>0</xdr:rowOff>
                  </to>
                </anchor>
              </controlPr>
            </control>
          </mc:Choice>
        </mc:AlternateContent>
        <mc:AlternateContent xmlns:mc="http://schemas.openxmlformats.org/markup-compatibility/2006">
          <mc:Choice Requires="x14">
            <control shapeId="685346" r:id="rId14" name="Drop Down 1314">
              <controlPr defaultSize="0" autoLine="0" autoPict="0">
                <anchor moveWithCells="1">
                  <from>
                    <xdr:col>2</xdr:col>
                    <xdr:colOff>514350</xdr:colOff>
                    <xdr:row>5</xdr:row>
                    <xdr:rowOff>9525</xdr:rowOff>
                  </from>
                  <to>
                    <xdr:col>5</xdr:col>
                    <xdr:colOff>95250</xdr:colOff>
                    <xdr:row>6</xdr:row>
                    <xdr:rowOff>9525</xdr:rowOff>
                  </to>
                </anchor>
              </controlPr>
            </control>
          </mc:Choice>
        </mc:AlternateContent>
        <mc:AlternateContent xmlns:mc="http://schemas.openxmlformats.org/markup-compatibility/2006">
          <mc:Choice Requires="x14">
            <control shapeId="685442" r:id="rId15" name="Drop Down 1410">
              <controlPr defaultSize="0" autoLine="0" autoPict="0">
                <anchor moveWithCells="1">
                  <from>
                    <xdr:col>0</xdr:col>
                    <xdr:colOff>9525</xdr:colOff>
                    <xdr:row>56</xdr:row>
                    <xdr:rowOff>0</xdr:rowOff>
                  </from>
                  <to>
                    <xdr:col>1</xdr:col>
                    <xdr:colOff>76200</xdr:colOff>
                    <xdr:row>56</xdr:row>
                    <xdr:rowOff>180975</xdr:rowOff>
                  </to>
                </anchor>
              </controlPr>
            </control>
          </mc:Choice>
        </mc:AlternateContent>
        <mc:AlternateContent xmlns:mc="http://schemas.openxmlformats.org/markup-compatibility/2006">
          <mc:Choice Requires="x14">
            <control shapeId="685525" r:id="rId16" name="Spinner 1493">
              <controlPr defaultSize="0" autoPict="0">
                <anchor moveWithCells="1" sizeWithCells="1">
                  <from>
                    <xdr:col>10</xdr:col>
                    <xdr:colOff>9525</xdr:colOff>
                    <xdr:row>62</xdr:row>
                    <xdr:rowOff>0</xdr:rowOff>
                  </from>
                  <to>
                    <xdr:col>10</xdr:col>
                    <xdr:colOff>180975</xdr:colOff>
                    <xdr:row>62</xdr:row>
                    <xdr:rowOff>180975</xdr:rowOff>
                  </to>
                </anchor>
              </controlPr>
            </control>
          </mc:Choice>
        </mc:AlternateContent>
        <mc:AlternateContent xmlns:mc="http://schemas.openxmlformats.org/markup-compatibility/2006">
          <mc:Choice Requires="x14">
            <control shapeId="685729" r:id="rId17" name="Drop Down 1697">
              <controlPr defaultSize="0" autoLine="0" autoPict="0">
                <anchor>
                  <from>
                    <xdr:col>11</xdr:col>
                    <xdr:colOff>66675</xdr:colOff>
                    <xdr:row>41</xdr:row>
                    <xdr:rowOff>76200</xdr:rowOff>
                  </from>
                  <to>
                    <xdr:col>12</xdr:col>
                    <xdr:colOff>333375</xdr:colOff>
                    <xdr:row>43</xdr:row>
                    <xdr:rowOff>0</xdr:rowOff>
                  </to>
                </anchor>
              </controlPr>
            </control>
          </mc:Choice>
        </mc:AlternateContent>
        <mc:AlternateContent xmlns:mc="http://schemas.openxmlformats.org/markup-compatibility/2006">
          <mc:Choice Requires="x14">
            <control shapeId="685906" r:id="rId18" name="Drop Down 1874">
              <controlPr defaultSize="0" autoLine="0" autoPict="0">
                <anchor moveWithCells="1">
                  <from>
                    <xdr:col>0</xdr:col>
                    <xdr:colOff>19050</xdr:colOff>
                    <xdr:row>102</xdr:row>
                    <xdr:rowOff>0</xdr:rowOff>
                  </from>
                  <to>
                    <xdr:col>2</xdr:col>
                    <xdr:colOff>9525</xdr:colOff>
                    <xdr:row>103</xdr:row>
                    <xdr:rowOff>0</xdr:rowOff>
                  </to>
                </anchor>
              </controlPr>
            </control>
          </mc:Choice>
        </mc:AlternateContent>
        <mc:AlternateContent xmlns:mc="http://schemas.openxmlformats.org/markup-compatibility/2006">
          <mc:Choice Requires="x14">
            <control shapeId="700259" r:id="rId19" name="Drop Down 2915">
              <controlPr locked="0" defaultSize="0" autoLine="0" autoPict="0">
                <anchor moveWithCells="1">
                  <from>
                    <xdr:col>6</xdr:col>
                    <xdr:colOff>371475</xdr:colOff>
                    <xdr:row>4</xdr:row>
                    <xdr:rowOff>9525</xdr:rowOff>
                  </from>
                  <to>
                    <xdr:col>7</xdr:col>
                    <xdr:colOff>514350</xdr:colOff>
                    <xdr:row>4</xdr:row>
                    <xdr:rowOff>238125</xdr:rowOff>
                  </to>
                </anchor>
              </controlPr>
            </control>
          </mc:Choice>
        </mc:AlternateContent>
        <mc:AlternateContent xmlns:mc="http://schemas.openxmlformats.org/markup-compatibility/2006">
          <mc:Choice Requires="x14">
            <control shapeId="713934" r:id="rId20" name="Drop Down 3278">
              <controlPr locked="0" defaultSize="0" autoLine="0" autoPict="0">
                <anchor moveWithCells="1">
                  <from>
                    <xdr:col>5</xdr:col>
                    <xdr:colOff>219075</xdr:colOff>
                    <xdr:row>15</xdr:row>
                    <xdr:rowOff>9525</xdr:rowOff>
                  </from>
                  <to>
                    <xdr:col>7</xdr:col>
                    <xdr:colOff>476250</xdr:colOff>
                    <xdr:row>15</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zoomScaleNormal="100" workbookViewId="0">
      <selection activeCell="D77" sqref="D77"/>
    </sheetView>
  </sheetViews>
  <sheetFormatPr defaultRowHeight="12.75" x14ac:dyDescent="0.2"/>
  <cols>
    <col min="1" max="1" width="9.5703125" style="214" customWidth="1"/>
    <col min="2" max="2" width="20.28515625" style="214" customWidth="1"/>
    <col min="3" max="3" width="16.140625" style="214" customWidth="1"/>
    <col min="4" max="4" width="20.140625" style="214" customWidth="1"/>
    <col min="5" max="5" width="17.28515625" style="214" customWidth="1"/>
    <col min="6" max="6" width="20.5703125" style="214" bestFit="1" customWidth="1"/>
    <col min="7" max="7" width="9.7109375" style="214" customWidth="1"/>
    <col min="8" max="8" width="16.140625" style="214" customWidth="1"/>
    <col min="9" max="9" width="17.28515625" style="214" customWidth="1"/>
    <col min="10" max="10" width="18.42578125" style="214" customWidth="1"/>
    <col min="11" max="11" width="26.42578125" style="214" customWidth="1"/>
    <col min="12" max="12" width="9.140625" style="214"/>
    <col min="13" max="13" width="9.140625" style="215"/>
    <col min="14" max="256" width="9.140625" style="214"/>
    <col min="257" max="257" width="8.7109375" style="214" bestFit="1" customWidth="1"/>
    <col min="258" max="258" width="13.28515625" style="214" customWidth="1"/>
    <col min="259" max="259" width="16.140625" style="214" bestFit="1" customWidth="1"/>
    <col min="260" max="260" width="23.5703125" style="214" customWidth="1"/>
    <col min="261" max="261" width="17.28515625" style="214" customWidth="1"/>
    <col min="262" max="262" width="20.5703125" style="214" bestFit="1" customWidth="1"/>
    <col min="263" max="263" width="17.140625" style="214" customWidth="1"/>
    <col min="264" max="264" width="21.85546875" style="214" bestFit="1" customWidth="1"/>
    <col min="265" max="265" width="17.140625" style="214" bestFit="1" customWidth="1"/>
    <col min="266" max="266" width="18.140625" style="214" bestFit="1" customWidth="1"/>
    <col min="267" max="267" width="26.42578125" style="214" customWidth="1"/>
    <col min="268" max="512" width="9.140625" style="214"/>
    <col min="513" max="513" width="8.7109375" style="214" bestFit="1" customWidth="1"/>
    <col min="514" max="514" width="13.28515625" style="214" customWidth="1"/>
    <col min="515" max="515" width="16.140625" style="214" bestFit="1" customWidth="1"/>
    <col min="516" max="516" width="23.5703125" style="214" customWidth="1"/>
    <col min="517" max="517" width="17.28515625" style="214" customWidth="1"/>
    <col min="518" max="518" width="20.5703125" style="214" bestFit="1" customWidth="1"/>
    <col min="519" max="519" width="17.140625" style="214" customWidth="1"/>
    <col min="520" max="520" width="21.85546875" style="214" bestFit="1" customWidth="1"/>
    <col min="521" max="521" width="17.140625" style="214" bestFit="1" customWidth="1"/>
    <col min="522" max="522" width="18.140625" style="214" bestFit="1" customWidth="1"/>
    <col min="523" max="523" width="26.42578125" style="214" customWidth="1"/>
    <col min="524" max="768" width="9.140625" style="214"/>
    <col min="769" max="769" width="8.7109375" style="214" bestFit="1" customWidth="1"/>
    <col min="770" max="770" width="13.28515625" style="214" customWidth="1"/>
    <col min="771" max="771" width="16.140625" style="214" bestFit="1" customWidth="1"/>
    <col min="772" max="772" width="23.5703125" style="214" customWidth="1"/>
    <col min="773" max="773" width="17.28515625" style="214" customWidth="1"/>
    <col min="774" max="774" width="20.5703125" style="214" bestFit="1" customWidth="1"/>
    <col min="775" max="775" width="17.140625" style="214" customWidth="1"/>
    <col min="776" max="776" width="21.85546875" style="214" bestFit="1" customWidth="1"/>
    <col min="777" max="777" width="17.140625" style="214" bestFit="1" customWidth="1"/>
    <col min="778" max="778" width="18.140625" style="214" bestFit="1" customWidth="1"/>
    <col min="779" max="779" width="26.42578125" style="214" customWidth="1"/>
    <col min="780" max="1024" width="9.140625" style="214"/>
    <col min="1025" max="1025" width="8.7109375" style="214" bestFit="1" customWidth="1"/>
    <col min="1026" max="1026" width="13.28515625" style="214" customWidth="1"/>
    <col min="1027" max="1027" width="16.140625" style="214" bestFit="1" customWidth="1"/>
    <col min="1028" max="1028" width="23.5703125" style="214" customWidth="1"/>
    <col min="1029" max="1029" width="17.28515625" style="214" customWidth="1"/>
    <col min="1030" max="1030" width="20.5703125" style="214" bestFit="1" customWidth="1"/>
    <col min="1031" max="1031" width="17.140625" style="214" customWidth="1"/>
    <col min="1032" max="1032" width="21.85546875" style="214" bestFit="1" customWidth="1"/>
    <col min="1033" max="1033" width="17.140625" style="214" bestFit="1" customWidth="1"/>
    <col min="1034" max="1034" width="18.140625" style="214" bestFit="1" customWidth="1"/>
    <col min="1035" max="1035" width="26.42578125" style="214" customWidth="1"/>
    <col min="1036" max="1280" width="9.140625" style="214"/>
    <col min="1281" max="1281" width="8.7109375" style="214" bestFit="1" customWidth="1"/>
    <col min="1282" max="1282" width="13.28515625" style="214" customWidth="1"/>
    <col min="1283" max="1283" width="16.140625" style="214" bestFit="1" customWidth="1"/>
    <col min="1284" max="1284" width="23.5703125" style="214" customWidth="1"/>
    <col min="1285" max="1285" width="17.28515625" style="214" customWidth="1"/>
    <col min="1286" max="1286" width="20.5703125" style="214" bestFit="1" customWidth="1"/>
    <col min="1287" max="1287" width="17.140625" style="214" customWidth="1"/>
    <col min="1288" max="1288" width="21.85546875" style="214" bestFit="1" customWidth="1"/>
    <col min="1289" max="1289" width="17.140625" style="214" bestFit="1" customWidth="1"/>
    <col min="1290" max="1290" width="18.140625" style="214" bestFit="1" customWidth="1"/>
    <col min="1291" max="1291" width="26.42578125" style="214" customWidth="1"/>
    <col min="1292" max="1536" width="9.140625" style="214"/>
    <col min="1537" max="1537" width="8.7109375" style="214" bestFit="1" customWidth="1"/>
    <col min="1538" max="1538" width="13.28515625" style="214" customWidth="1"/>
    <col min="1539" max="1539" width="16.140625" style="214" bestFit="1" customWidth="1"/>
    <col min="1540" max="1540" width="23.5703125" style="214" customWidth="1"/>
    <col min="1541" max="1541" width="17.28515625" style="214" customWidth="1"/>
    <col min="1542" max="1542" width="20.5703125" style="214" bestFit="1" customWidth="1"/>
    <col min="1543" max="1543" width="17.140625" style="214" customWidth="1"/>
    <col min="1544" max="1544" width="21.85546875" style="214" bestFit="1" customWidth="1"/>
    <col min="1545" max="1545" width="17.140625" style="214" bestFit="1" customWidth="1"/>
    <col min="1546" max="1546" width="18.140625" style="214" bestFit="1" customWidth="1"/>
    <col min="1547" max="1547" width="26.42578125" style="214" customWidth="1"/>
    <col min="1548" max="1792" width="9.140625" style="214"/>
    <col min="1793" max="1793" width="8.7109375" style="214" bestFit="1" customWidth="1"/>
    <col min="1794" max="1794" width="13.28515625" style="214" customWidth="1"/>
    <col min="1795" max="1795" width="16.140625" style="214" bestFit="1" customWidth="1"/>
    <col min="1796" max="1796" width="23.5703125" style="214" customWidth="1"/>
    <col min="1797" max="1797" width="17.28515625" style="214" customWidth="1"/>
    <col min="1798" max="1798" width="20.5703125" style="214" bestFit="1" customWidth="1"/>
    <col min="1799" max="1799" width="17.140625" style="214" customWidth="1"/>
    <col min="1800" max="1800" width="21.85546875" style="214" bestFit="1" customWidth="1"/>
    <col min="1801" max="1801" width="17.140625" style="214" bestFit="1" customWidth="1"/>
    <col min="1802" max="1802" width="18.140625" style="214" bestFit="1" customWidth="1"/>
    <col min="1803" max="1803" width="26.42578125" style="214" customWidth="1"/>
    <col min="1804" max="2048" width="9.140625" style="214"/>
    <col min="2049" max="2049" width="8.7109375" style="214" bestFit="1" customWidth="1"/>
    <col min="2050" max="2050" width="13.28515625" style="214" customWidth="1"/>
    <col min="2051" max="2051" width="16.140625" style="214" bestFit="1" customWidth="1"/>
    <col min="2052" max="2052" width="23.5703125" style="214" customWidth="1"/>
    <col min="2053" max="2053" width="17.28515625" style="214" customWidth="1"/>
    <col min="2054" max="2054" width="20.5703125" style="214" bestFit="1" customWidth="1"/>
    <col min="2055" max="2055" width="17.140625" style="214" customWidth="1"/>
    <col min="2056" max="2056" width="21.85546875" style="214" bestFit="1" customWidth="1"/>
    <col min="2057" max="2057" width="17.140625" style="214" bestFit="1" customWidth="1"/>
    <col min="2058" max="2058" width="18.140625" style="214" bestFit="1" customWidth="1"/>
    <col min="2059" max="2059" width="26.42578125" style="214" customWidth="1"/>
    <col min="2060" max="2304" width="9.140625" style="214"/>
    <col min="2305" max="2305" width="8.7109375" style="214" bestFit="1" customWidth="1"/>
    <col min="2306" max="2306" width="13.28515625" style="214" customWidth="1"/>
    <col min="2307" max="2307" width="16.140625" style="214" bestFit="1" customWidth="1"/>
    <col min="2308" max="2308" width="23.5703125" style="214" customWidth="1"/>
    <col min="2309" max="2309" width="17.28515625" style="214" customWidth="1"/>
    <col min="2310" max="2310" width="20.5703125" style="214" bestFit="1" customWidth="1"/>
    <col min="2311" max="2311" width="17.140625" style="214" customWidth="1"/>
    <col min="2312" max="2312" width="21.85546875" style="214" bestFit="1" customWidth="1"/>
    <col min="2313" max="2313" width="17.140625" style="214" bestFit="1" customWidth="1"/>
    <col min="2314" max="2314" width="18.140625" style="214" bestFit="1" customWidth="1"/>
    <col min="2315" max="2315" width="26.42578125" style="214" customWidth="1"/>
    <col min="2316" max="2560" width="9.140625" style="214"/>
    <col min="2561" max="2561" width="8.7109375" style="214" bestFit="1" customWidth="1"/>
    <col min="2562" max="2562" width="13.28515625" style="214" customWidth="1"/>
    <col min="2563" max="2563" width="16.140625" style="214" bestFit="1" customWidth="1"/>
    <col min="2564" max="2564" width="23.5703125" style="214" customWidth="1"/>
    <col min="2565" max="2565" width="17.28515625" style="214" customWidth="1"/>
    <col min="2566" max="2566" width="20.5703125" style="214" bestFit="1" customWidth="1"/>
    <col min="2567" max="2567" width="17.140625" style="214" customWidth="1"/>
    <col min="2568" max="2568" width="21.85546875" style="214" bestFit="1" customWidth="1"/>
    <col min="2569" max="2569" width="17.140625" style="214" bestFit="1" customWidth="1"/>
    <col min="2570" max="2570" width="18.140625" style="214" bestFit="1" customWidth="1"/>
    <col min="2571" max="2571" width="26.42578125" style="214" customWidth="1"/>
    <col min="2572" max="2816" width="9.140625" style="214"/>
    <col min="2817" max="2817" width="8.7109375" style="214" bestFit="1" customWidth="1"/>
    <col min="2818" max="2818" width="13.28515625" style="214" customWidth="1"/>
    <col min="2819" max="2819" width="16.140625" style="214" bestFit="1" customWidth="1"/>
    <col min="2820" max="2820" width="23.5703125" style="214" customWidth="1"/>
    <col min="2821" max="2821" width="17.28515625" style="214" customWidth="1"/>
    <col min="2822" max="2822" width="20.5703125" style="214" bestFit="1" customWidth="1"/>
    <col min="2823" max="2823" width="17.140625" style="214" customWidth="1"/>
    <col min="2824" max="2824" width="21.85546875" style="214" bestFit="1" customWidth="1"/>
    <col min="2825" max="2825" width="17.140625" style="214" bestFit="1" customWidth="1"/>
    <col min="2826" max="2826" width="18.140625" style="214" bestFit="1" customWidth="1"/>
    <col min="2827" max="2827" width="26.42578125" style="214" customWidth="1"/>
    <col min="2828" max="3072" width="9.140625" style="214"/>
    <col min="3073" max="3073" width="8.7109375" style="214" bestFit="1" customWidth="1"/>
    <col min="3074" max="3074" width="13.28515625" style="214" customWidth="1"/>
    <col min="3075" max="3075" width="16.140625" style="214" bestFit="1" customWidth="1"/>
    <col min="3076" max="3076" width="23.5703125" style="214" customWidth="1"/>
    <col min="3077" max="3077" width="17.28515625" style="214" customWidth="1"/>
    <col min="3078" max="3078" width="20.5703125" style="214" bestFit="1" customWidth="1"/>
    <col min="3079" max="3079" width="17.140625" style="214" customWidth="1"/>
    <col min="3080" max="3080" width="21.85546875" style="214" bestFit="1" customWidth="1"/>
    <col min="3081" max="3081" width="17.140625" style="214" bestFit="1" customWidth="1"/>
    <col min="3082" max="3082" width="18.140625" style="214" bestFit="1" customWidth="1"/>
    <col min="3083" max="3083" width="26.42578125" style="214" customWidth="1"/>
    <col min="3084" max="3328" width="9.140625" style="214"/>
    <col min="3329" max="3329" width="8.7109375" style="214" bestFit="1" customWidth="1"/>
    <col min="3330" max="3330" width="13.28515625" style="214" customWidth="1"/>
    <col min="3331" max="3331" width="16.140625" style="214" bestFit="1" customWidth="1"/>
    <col min="3332" max="3332" width="23.5703125" style="214" customWidth="1"/>
    <col min="3333" max="3333" width="17.28515625" style="214" customWidth="1"/>
    <col min="3334" max="3334" width="20.5703125" style="214" bestFit="1" customWidth="1"/>
    <col min="3335" max="3335" width="17.140625" style="214" customWidth="1"/>
    <col min="3336" max="3336" width="21.85546875" style="214" bestFit="1" customWidth="1"/>
    <col min="3337" max="3337" width="17.140625" style="214" bestFit="1" customWidth="1"/>
    <col min="3338" max="3338" width="18.140625" style="214" bestFit="1" customWidth="1"/>
    <col min="3339" max="3339" width="26.42578125" style="214" customWidth="1"/>
    <col min="3340" max="3584" width="9.140625" style="214"/>
    <col min="3585" max="3585" width="8.7109375" style="214" bestFit="1" customWidth="1"/>
    <col min="3586" max="3586" width="13.28515625" style="214" customWidth="1"/>
    <col min="3587" max="3587" width="16.140625" style="214" bestFit="1" customWidth="1"/>
    <col min="3588" max="3588" width="23.5703125" style="214" customWidth="1"/>
    <col min="3589" max="3589" width="17.28515625" style="214" customWidth="1"/>
    <col min="3590" max="3590" width="20.5703125" style="214" bestFit="1" customWidth="1"/>
    <col min="3591" max="3591" width="17.140625" style="214" customWidth="1"/>
    <col min="3592" max="3592" width="21.85546875" style="214" bestFit="1" customWidth="1"/>
    <col min="3593" max="3593" width="17.140625" style="214" bestFit="1" customWidth="1"/>
    <col min="3594" max="3594" width="18.140625" style="214" bestFit="1" customWidth="1"/>
    <col min="3595" max="3595" width="26.42578125" style="214" customWidth="1"/>
    <col min="3596" max="3840" width="9.140625" style="214"/>
    <col min="3841" max="3841" width="8.7109375" style="214" bestFit="1" customWidth="1"/>
    <col min="3842" max="3842" width="13.28515625" style="214" customWidth="1"/>
    <col min="3843" max="3843" width="16.140625" style="214" bestFit="1" customWidth="1"/>
    <col min="3844" max="3844" width="23.5703125" style="214" customWidth="1"/>
    <col min="3845" max="3845" width="17.28515625" style="214" customWidth="1"/>
    <col min="3846" max="3846" width="20.5703125" style="214" bestFit="1" customWidth="1"/>
    <col min="3847" max="3847" width="17.140625" style="214" customWidth="1"/>
    <col min="3848" max="3848" width="21.85546875" style="214" bestFit="1" customWidth="1"/>
    <col min="3849" max="3849" width="17.140625" style="214" bestFit="1" customWidth="1"/>
    <col min="3850" max="3850" width="18.140625" style="214" bestFit="1" customWidth="1"/>
    <col min="3851" max="3851" width="26.42578125" style="214" customWidth="1"/>
    <col min="3852" max="4096" width="9.140625" style="214"/>
    <col min="4097" max="4097" width="8.7109375" style="214" bestFit="1" customWidth="1"/>
    <col min="4098" max="4098" width="13.28515625" style="214" customWidth="1"/>
    <col min="4099" max="4099" width="16.140625" style="214" bestFit="1" customWidth="1"/>
    <col min="4100" max="4100" width="23.5703125" style="214" customWidth="1"/>
    <col min="4101" max="4101" width="17.28515625" style="214" customWidth="1"/>
    <col min="4102" max="4102" width="20.5703125" style="214" bestFit="1" customWidth="1"/>
    <col min="4103" max="4103" width="17.140625" style="214" customWidth="1"/>
    <col min="4104" max="4104" width="21.85546875" style="214" bestFit="1" customWidth="1"/>
    <col min="4105" max="4105" width="17.140625" style="214" bestFit="1" customWidth="1"/>
    <col min="4106" max="4106" width="18.140625" style="214" bestFit="1" customWidth="1"/>
    <col min="4107" max="4107" width="26.42578125" style="214" customWidth="1"/>
    <col min="4108" max="4352" width="9.140625" style="214"/>
    <col min="4353" max="4353" width="8.7109375" style="214" bestFit="1" customWidth="1"/>
    <col min="4354" max="4354" width="13.28515625" style="214" customWidth="1"/>
    <col min="4355" max="4355" width="16.140625" style="214" bestFit="1" customWidth="1"/>
    <col min="4356" max="4356" width="23.5703125" style="214" customWidth="1"/>
    <col min="4357" max="4357" width="17.28515625" style="214" customWidth="1"/>
    <col min="4358" max="4358" width="20.5703125" style="214" bestFit="1" customWidth="1"/>
    <col min="4359" max="4359" width="17.140625" style="214" customWidth="1"/>
    <col min="4360" max="4360" width="21.85546875" style="214" bestFit="1" customWidth="1"/>
    <col min="4361" max="4361" width="17.140625" style="214" bestFit="1" customWidth="1"/>
    <col min="4362" max="4362" width="18.140625" style="214" bestFit="1" customWidth="1"/>
    <col min="4363" max="4363" width="26.42578125" style="214" customWidth="1"/>
    <col min="4364" max="4608" width="9.140625" style="214"/>
    <col min="4609" max="4609" width="8.7109375" style="214" bestFit="1" customWidth="1"/>
    <col min="4610" max="4610" width="13.28515625" style="214" customWidth="1"/>
    <col min="4611" max="4611" width="16.140625" style="214" bestFit="1" customWidth="1"/>
    <col min="4612" max="4612" width="23.5703125" style="214" customWidth="1"/>
    <col min="4613" max="4613" width="17.28515625" style="214" customWidth="1"/>
    <col min="4614" max="4614" width="20.5703125" style="214" bestFit="1" customWidth="1"/>
    <col min="4615" max="4615" width="17.140625" style="214" customWidth="1"/>
    <col min="4616" max="4616" width="21.85546875" style="214" bestFit="1" customWidth="1"/>
    <col min="4617" max="4617" width="17.140625" style="214" bestFit="1" customWidth="1"/>
    <col min="4618" max="4618" width="18.140625" style="214" bestFit="1" customWidth="1"/>
    <col min="4619" max="4619" width="26.42578125" style="214" customWidth="1"/>
    <col min="4620" max="4864" width="9.140625" style="214"/>
    <col min="4865" max="4865" width="8.7109375" style="214" bestFit="1" customWidth="1"/>
    <col min="4866" max="4866" width="13.28515625" style="214" customWidth="1"/>
    <col min="4867" max="4867" width="16.140625" style="214" bestFit="1" customWidth="1"/>
    <col min="4868" max="4868" width="23.5703125" style="214" customWidth="1"/>
    <col min="4869" max="4869" width="17.28515625" style="214" customWidth="1"/>
    <col min="4870" max="4870" width="20.5703125" style="214" bestFit="1" customWidth="1"/>
    <col min="4871" max="4871" width="17.140625" style="214" customWidth="1"/>
    <col min="4872" max="4872" width="21.85546875" style="214" bestFit="1" customWidth="1"/>
    <col min="4873" max="4873" width="17.140625" style="214" bestFit="1" customWidth="1"/>
    <col min="4874" max="4874" width="18.140625" style="214" bestFit="1" customWidth="1"/>
    <col min="4875" max="4875" width="26.42578125" style="214" customWidth="1"/>
    <col min="4876" max="5120" width="9.140625" style="214"/>
    <col min="5121" max="5121" width="8.7109375" style="214" bestFit="1" customWidth="1"/>
    <col min="5122" max="5122" width="13.28515625" style="214" customWidth="1"/>
    <col min="5123" max="5123" width="16.140625" style="214" bestFit="1" customWidth="1"/>
    <col min="5124" max="5124" width="23.5703125" style="214" customWidth="1"/>
    <col min="5125" max="5125" width="17.28515625" style="214" customWidth="1"/>
    <col min="5126" max="5126" width="20.5703125" style="214" bestFit="1" customWidth="1"/>
    <col min="5127" max="5127" width="17.140625" style="214" customWidth="1"/>
    <col min="5128" max="5128" width="21.85546875" style="214" bestFit="1" customWidth="1"/>
    <col min="5129" max="5129" width="17.140625" style="214" bestFit="1" customWidth="1"/>
    <col min="5130" max="5130" width="18.140625" style="214" bestFit="1" customWidth="1"/>
    <col min="5131" max="5131" width="26.42578125" style="214" customWidth="1"/>
    <col min="5132" max="5376" width="9.140625" style="214"/>
    <col min="5377" max="5377" width="8.7109375" style="214" bestFit="1" customWidth="1"/>
    <col min="5378" max="5378" width="13.28515625" style="214" customWidth="1"/>
    <col min="5379" max="5379" width="16.140625" style="214" bestFit="1" customWidth="1"/>
    <col min="5380" max="5380" width="23.5703125" style="214" customWidth="1"/>
    <col min="5381" max="5381" width="17.28515625" style="214" customWidth="1"/>
    <col min="5382" max="5382" width="20.5703125" style="214" bestFit="1" customWidth="1"/>
    <col min="5383" max="5383" width="17.140625" style="214" customWidth="1"/>
    <col min="5384" max="5384" width="21.85546875" style="214" bestFit="1" customWidth="1"/>
    <col min="5385" max="5385" width="17.140625" style="214" bestFit="1" customWidth="1"/>
    <col min="5386" max="5386" width="18.140625" style="214" bestFit="1" customWidth="1"/>
    <col min="5387" max="5387" width="26.42578125" style="214" customWidth="1"/>
    <col min="5388" max="5632" width="9.140625" style="214"/>
    <col min="5633" max="5633" width="8.7109375" style="214" bestFit="1" customWidth="1"/>
    <col min="5634" max="5634" width="13.28515625" style="214" customWidth="1"/>
    <col min="5635" max="5635" width="16.140625" style="214" bestFit="1" customWidth="1"/>
    <col min="5636" max="5636" width="23.5703125" style="214" customWidth="1"/>
    <col min="5637" max="5637" width="17.28515625" style="214" customWidth="1"/>
    <col min="5638" max="5638" width="20.5703125" style="214" bestFit="1" customWidth="1"/>
    <col min="5639" max="5639" width="17.140625" style="214" customWidth="1"/>
    <col min="5640" max="5640" width="21.85546875" style="214" bestFit="1" customWidth="1"/>
    <col min="5641" max="5641" width="17.140625" style="214" bestFit="1" customWidth="1"/>
    <col min="5642" max="5642" width="18.140625" style="214" bestFit="1" customWidth="1"/>
    <col min="5643" max="5643" width="26.42578125" style="214" customWidth="1"/>
    <col min="5644" max="5888" width="9.140625" style="214"/>
    <col min="5889" max="5889" width="8.7109375" style="214" bestFit="1" customWidth="1"/>
    <col min="5890" max="5890" width="13.28515625" style="214" customWidth="1"/>
    <col min="5891" max="5891" width="16.140625" style="214" bestFit="1" customWidth="1"/>
    <col min="5892" max="5892" width="23.5703125" style="214" customWidth="1"/>
    <col min="5893" max="5893" width="17.28515625" style="214" customWidth="1"/>
    <col min="5894" max="5894" width="20.5703125" style="214" bestFit="1" customWidth="1"/>
    <col min="5895" max="5895" width="17.140625" style="214" customWidth="1"/>
    <col min="5896" max="5896" width="21.85546875" style="214" bestFit="1" customWidth="1"/>
    <col min="5897" max="5897" width="17.140625" style="214" bestFit="1" customWidth="1"/>
    <col min="5898" max="5898" width="18.140625" style="214" bestFit="1" customWidth="1"/>
    <col min="5899" max="5899" width="26.42578125" style="214" customWidth="1"/>
    <col min="5900" max="6144" width="9.140625" style="214"/>
    <col min="6145" max="6145" width="8.7109375" style="214" bestFit="1" customWidth="1"/>
    <col min="6146" max="6146" width="13.28515625" style="214" customWidth="1"/>
    <col min="6147" max="6147" width="16.140625" style="214" bestFit="1" customWidth="1"/>
    <col min="6148" max="6148" width="23.5703125" style="214" customWidth="1"/>
    <col min="6149" max="6149" width="17.28515625" style="214" customWidth="1"/>
    <col min="6150" max="6150" width="20.5703125" style="214" bestFit="1" customWidth="1"/>
    <col min="6151" max="6151" width="17.140625" style="214" customWidth="1"/>
    <col min="6152" max="6152" width="21.85546875" style="214" bestFit="1" customWidth="1"/>
    <col min="6153" max="6153" width="17.140625" style="214" bestFit="1" customWidth="1"/>
    <col min="6154" max="6154" width="18.140625" style="214" bestFit="1" customWidth="1"/>
    <col min="6155" max="6155" width="26.42578125" style="214" customWidth="1"/>
    <col min="6156" max="6400" width="9.140625" style="214"/>
    <col min="6401" max="6401" width="8.7109375" style="214" bestFit="1" customWidth="1"/>
    <col min="6402" max="6402" width="13.28515625" style="214" customWidth="1"/>
    <col min="6403" max="6403" width="16.140625" style="214" bestFit="1" customWidth="1"/>
    <col min="6404" max="6404" width="23.5703125" style="214" customWidth="1"/>
    <col min="6405" max="6405" width="17.28515625" style="214" customWidth="1"/>
    <col min="6406" max="6406" width="20.5703125" style="214" bestFit="1" customWidth="1"/>
    <col min="6407" max="6407" width="17.140625" style="214" customWidth="1"/>
    <col min="6408" max="6408" width="21.85546875" style="214" bestFit="1" customWidth="1"/>
    <col min="6409" max="6409" width="17.140625" style="214" bestFit="1" customWidth="1"/>
    <col min="6410" max="6410" width="18.140625" style="214" bestFit="1" customWidth="1"/>
    <col min="6411" max="6411" width="26.42578125" style="214" customWidth="1"/>
    <col min="6412" max="6656" width="9.140625" style="214"/>
    <col min="6657" max="6657" width="8.7109375" style="214" bestFit="1" customWidth="1"/>
    <col min="6658" max="6658" width="13.28515625" style="214" customWidth="1"/>
    <col min="6659" max="6659" width="16.140625" style="214" bestFit="1" customWidth="1"/>
    <col min="6660" max="6660" width="23.5703125" style="214" customWidth="1"/>
    <col min="6661" max="6661" width="17.28515625" style="214" customWidth="1"/>
    <col min="6662" max="6662" width="20.5703125" style="214" bestFit="1" customWidth="1"/>
    <col min="6663" max="6663" width="17.140625" style="214" customWidth="1"/>
    <col min="6664" max="6664" width="21.85546875" style="214" bestFit="1" customWidth="1"/>
    <col min="6665" max="6665" width="17.140625" style="214" bestFit="1" customWidth="1"/>
    <col min="6666" max="6666" width="18.140625" style="214" bestFit="1" customWidth="1"/>
    <col min="6667" max="6667" width="26.42578125" style="214" customWidth="1"/>
    <col min="6668" max="6912" width="9.140625" style="214"/>
    <col min="6913" max="6913" width="8.7109375" style="214" bestFit="1" customWidth="1"/>
    <col min="6914" max="6914" width="13.28515625" style="214" customWidth="1"/>
    <col min="6915" max="6915" width="16.140625" style="214" bestFit="1" customWidth="1"/>
    <col min="6916" max="6916" width="23.5703125" style="214" customWidth="1"/>
    <col min="6917" max="6917" width="17.28515625" style="214" customWidth="1"/>
    <col min="6918" max="6918" width="20.5703125" style="214" bestFit="1" customWidth="1"/>
    <col min="6919" max="6919" width="17.140625" style="214" customWidth="1"/>
    <col min="6920" max="6920" width="21.85546875" style="214" bestFit="1" customWidth="1"/>
    <col min="6921" max="6921" width="17.140625" style="214" bestFit="1" customWidth="1"/>
    <col min="6922" max="6922" width="18.140625" style="214" bestFit="1" customWidth="1"/>
    <col min="6923" max="6923" width="26.42578125" style="214" customWidth="1"/>
    <col min="6924" max="7168" width="9.140625" style="214"/>
    <col min="7169" max="7169" width="8.7109375" style="214" bestFit="1" customWidth="1"/>
    <col min="7170" max="7170" width="13.28515625" style="214" customWidth="1"/>
    <col min="7171" max="7171" width="16.140625" style="214" bestFit="1" customWidth="1"/>
    <col min="7172" max="7172" width="23.5703125" style="214" customWidth="1"/>
    <col min="7173" max="7173" width="17.28515625" style="214" customWidth="1"/>
    <col min="7174" max="7174" width="20.5703125" style="214" bestFit="1" customWidth="1"/>
    <col min="7175" max="7175" width="17.140625" style="214" customWidth="1"/>
    <col min="7176" max="7176" width="21.85546875" style="214" bestFit="1" customWidth="1"/>
    <col min="7177" max="7177" width="17.140625" style="214" bestFit="1" customWidth="1"/>
    <col min="7178" max="7178" width="18.140625" style="214" bestFit="1" customWidth="1"/>
    <col min="7179" max="7179" width="26.42578125" style="214" customWidth="1"/>
    <col min="7180" max="7424" width="9.140625" style="214"/>
    <col min="7425" max="7425" width="8.7109375" style="214" bestFit="1" customWidth="1"/>
    <col min="7426" max="7426" width="13.28515625" style="214" customWidth="1"/>
    <col min="7427" max="7427" width="16.140625" style="214" bestFit="1" customWidth="1"/>
    <col min="7428" max="7428" width="23.5703125" style="214" customWidth="1"/>
    <col min="7429" max="7429" width="17.28515625" style="214" customWidth="1"/>
    <col min="7430" max="7430" width="20.5703125" style="214" bestFit="1" customWidth="1"/>
    <col min="7431" max="7431" width="17.140625" style="214" customWidth="1"/>
    <col min="7432" max="7432" width="21.85546875" style="214" bestFit="1" customWidth="1"/>
    <col min="7433" max="7433" width="17.140625" style="214" bestFit="1" customWidth="1"/>
    <col min="7434" max="7434" width="18.140625" style="214" bestFit="1" customWidth="1"/>
    <col min="7435" max="7435" width="26.42578125" style="214" customWidth="1"/>
    <col min="7436" max="7680" width="9.140625" style="214"/>
    <col min="7681" max="7681" width="8.7109375" style="214" bestFit="1" customWidth="1"/>
    <col min="7682" max="7682" width="13.28515625" style="214" customWidth="1"/>
    <col min="7683" max="7683" width="16.140625" style="214" bestFit="1" customWidth="1"/>
    <col min="7684" max="7684" width="23.5703125" style="214" customWidth="1"/>
    <col min="7685" max="7685" width="17.28515625" style="214" customWidth="1"/>
    <col min="7686" max="7686" width="20.5703125" style="214" bestFit="1" customWidth="1"/>
    <col min="7687" max="7687" width="17.140625" style="214" customWidth="1"/>
    <col min="7688" max="7688" width="21.85546875" style="214" bestFit="1" customWidth="1"/>
    <col min="7689" max="7689" width="17.140625" style="214" bestFit="1" customWidth="1"/>
    <col min="7690" max="7690" width="18.140625" style="214" bestFit="1" customWidth="1"/>
    <col min="7691" max="7691" width="26.42578125" style="214" customWidth="1"/>
    <col min="7692" max="7936" width="9.140625" style="214"/>
    <col min="7937" max="7937" width="8.7109375" style="214" bestFit="1" customWidth="1"/>
    <col min="7938" max="7938" width="13.28515625" style="214" customWidth="1"/>
    <col min="7939" max="7939" width="16.140625" style="214" bestFit="1" customWidth="1"/>
    <col min="7940" max="7940" width="23.5703125" style="214" customWidth="1"/>
    <col min="7941" max="7941" width="17.28515625" style="214" customWidth="1"/>
    <col min="7942" max="7942" width="20.5703125" style="214" bestFit="1" customWidth="1"/>
    <col min="7943" max="7943" width="17.140625" style="214" customWidth="1"/>
    <col min="7944" max="7944" width="21.85546875" style="214" bestFit="1" customWidth="1"/>
    <col min="7945" max="7945" width="17.140625" style="214" bestFit="1" customWidth="1"/>
    <col min="7946" max="7946" width="18.140625" style="214" bestFit="1" customWidth="1"/>
    <col min="7947" max="7947" width="26.42578125" style="214" customWidth="1"/>
    <col min="7948" max="8192" width="9.140625" style="214"/>
    <col min="8193" max="8193" width="8.7109375" style="214" bestFit="1" customWidth="1"/>
    <col min="8194" max="8194" width="13.28515625" style="214" customWidth="1"/>
    <col min="8195" max="8195" width="16.140625" style="214" bestFit="1" customWidth="1"/>
    <col min="8196" max="8196" width="23.5703125" style="214" customWidth="1"/>
    <col min="8197" max="8197" width="17.28515625" style="214" customWidth="1"/>
    <col min="8198" max="8198" width="20.5703125" style="214" bestFit="1" customWidth="1"/>
    <col min="8199" max="8199" width="17.140625" style="214" customWidth="1"/>
    <col min="8200" max="8200" width="21.85546875" style="214" bestFit="1" customWidth="1"/>
    <col min="8201" max="8201" width="17.140625" style="214" bestFit="1" customWidth="1"/>
    <col min="8202" max="8202" width="18.140625" style="214" bestFit="1" customWidth="1"/>
    <col min="8203" max="8203" width="26.42578125" style="214" customWidth="1"/>
    <col min="8204" max="8448" width="9.140625" style="214"/>
    <col min="8449" max="8449" width="8.7109375" style="214" bestFit="1" customWidth="1"/>
    <col min="8450" max="8450" width="13.28515625" style="214" customWidth="1"/>
    <col min="8451" max="8451" width="16.140625" style="214" bestFit="1" customWidth="1"/>
    <col min="8452" max="8452" width="23.5703125" style="214" customWidth="1"/>
    <col min="8453" max="8453" width="17.28515625" style="214" customWidth="1"/>
    <col min="8454" max="8454" width="20.5703125" style="214" bestFit="1" customWidth="1"/>
    <col min="8455" max="8455" width="17.140625" style="214" customWidth="1"/>
    <col min="8456" max="8456" width="21.85546875" style="214" bestFit="1" customWidth="1"/>
    <col min="8457" max="8457" width="17.140625" style="214" bestFit="1" customWidth="1"/>
    <col min="8458" max="8458" width="18.140625" style="214" bestFit="1" customWidth="1"/>
    <col min="8459" max="8459" width="26.42578125" style="214" customWidth="1"/>
    <col min="8460" max="8704" width="9.140625" style="214"/>
    <col min="8705" max="8705" width="8.7109375" style="214" bestFit="1" customWidth="1"/>
    <col min="8706" max="8706" width="13.28515625" style="214" customWidth="1"/>
    <col min="8707" max="8707" width="16.140625" style="214" bestFit="1" customWidth="1"/>
    <col min="8708" max="8708" width="23.5703125" style="214" customWidth="1"/>
    <col min="8709" max="8709" width="17.28515625" style="214" customWidth="1"/>
    <col min="8710" max="8710" width="20.5703125" style="214" bestFit="1" customWidth="1"/>
    <col min="8711" max="8711" width="17.140625" style="214" customWidth="1"/>
    <col min="8712" max="8712" width="21.85546875" style="214" bestFit="1" customWidth="1"/>
    <col min="8713" max="8713" width="17.140625" style="214" bestFit="1" customWidth="1"/>
    <col min="8714" max="8714" width="18.140625" style="214" bestFit="1" customWidth="1"/>
    <col min="8715" max="8715" width="26.42578125" style="214" customWidth="1"/>
    <col min="8716" max="8960" width="9.140625" style="214"/>
    <col min="8961" max="8961" width="8.7109375" style="214" bestFit="1" customWidth="1"/>
    <col min="8962" max="8962" width="13.28515625" style="214" customWidth="1"/>
    <col min="8963" max="8963" width="16.140625" style="214" bestFit="1" customWidth="1"/>
    <col min="8964" max="8964" width="23.5703125" style="214" customWidth="1"/>
    <col min="8965" max="8965" width="17.28515625" style="214" customWidth="1"/>
    <col min="8966" max="8966" width="20.5703125" style="214" bestFit="1" customWidth="1"/>
    <col min="8967" max="8967" width="17.140625" style="214" customWidth="1"/>
    <col min="8968" max="8968" width="21.85546875" style="214" bestFit="1" customWidth="1"/>
    <col min="8969" max="8969" width="17.140625" style="214" bestFit="1" customWidth="1"/>
    <col min="8970" max="8970" width="18.140625" style="214" bestFit="1" customWidth="1"/>
    <col min="8971" max="8971" width="26.42578125" style="214" customWidth="1"/>
    <col min="8972" max="9216" width="9.140625" style="214"/>
    <col min="9217" max="9217" width="8.7109375" style="214" bestFit="1" customWidth="1"/>
    <col min="9218" max="9218" width="13.28515625" style="214" customWidth="1"/>
    <col min="9219" max="9219" width="16.140625" style="214" bestFit="1" customWidth="1"/>
    <col min="9220" max="9220" width="23.5703125" style="214" customWidth="1"/>
    <col min="9221" max="9221" width="17.28515625" style="214" customWidth="1"/>
    <col min="9222" max="9222" width="20.5703125" style="214" bestFit="1" customWidth="1"/>
    <col min="9223" max="9223" width="17.140625" style="214" customWidth="1"/>
    <col min="9224" max="9224" width="21.85546875" style="214" bestFit="1" customWidth="1"/>
    <col min="9225" max="9225" width="17.140625" style="214" bestFit="1" customWidth="1"/>
    <col min="9226" max="9226" width="18.140625" style="214" bestFit="1" customWidth="1"/>
    <col min="9227" max="9227" width="26.42578125" style="214" customWidth="1"/>
    <col min="9228" max="9472" width="9.140625" style="214"/>
    <col min="9473" max="9473" width="8.7109375" style="214" bestFit="1" customWidth="1"/>
    <col min="9474" max="9474" width="13.28515625" style="214" customWidth="1"/>
    <col min="9475" max="9475" width="16.140625" style="214" bestFit="1" customWidth="1"/>
    <col min="9476" max="9476" width="23.5703125" style="214" customWidth="1"/>
    <col min="9477" max="9477" width="17.28515625" style="214" customWidth="1"/>
    <col min="9478" max="9478" width="20.5703125" style="214" bestFit="1" customWidth="1"/>
    <col min="9479" max="9479" width="17.140625" style="214" customWidth="1"/>
    <col min="9480" max="9480" width="21.85546875" style="214" bestFit="1" customWidth="1"/>
    <col min="9481" max="9481" width="17.140625" style="214" bestFit="1" customWidth="1"/>
    <col min="9482" max="9482" width="18.140625" style="214" bestFit="1" customWidth="1"/>
    <col min="9483" max="9483" width="26.42578125" style="214" customWidth="1"/>
    <col min="9484" max="9728" width="9.140625" style="214"/>
    <col min="9729" max="9729" width="8.7109375" style="214" bestFit="1" customWidth="1"/>
    <col min="9730" max="9730" width="13.28515625" style="214" customWidth="1"/>
    <col min="9731" max="9731" width="16.140625" style="214" bestFit="1" customWidth="1"/>
    <col min="9732" max="9732" width="23.5703125" style="214" customWidth="1"/>
    <col min="9733" max="9733" width="17.28515625" style="214" customWidth="1"/>
    <col min="9734" max="9734" width="20.5703125" style="214" bestFit="1" customWidth="1"/>
    <col min="9735" max="9735" width="17.140625" style="214" customWidth="1"/>
    <col min="9736" max="9736" width="21.85546875" style="214" bestFit="1" customWidth="1"/>
    <col min="9737" max="9737" width="17.140625" style="214" bestFit="1" customWidth="1"/>
    <col min="9738" max="9738" width="18.140625" style="214" bestFit="1" customWidth="1"/>
    <col min="9739" max="9739" width="26.42578125" style="214" customWidth="1"/>
    <col min="9740" max="9984" width="9.140625" style="214"/>
    <col min="9985" max="9985" width="8.7109375" style="214" bestFit="1" customWidth="1"/>
    <col min="9986" max="9986" width="13.28515625" style="214" customWidth="1"/>
    <col min="9987" max="9987" width="16.140625" style="214" bestFit="1" customWidth="1"/>
    <col min="9988" max="9988" width="23.5703125" style="214" customWidth="1"/>
    <col min="9989" max="9989" width="17.28515625" style="214" customWidth="1"/>
    <col min="9990" max="9990" width="20.5703125" style="214" bestFit="1" customWidth="1"/>
    <col min="9991" max="9991" width="17.140625" style="214" customWidth="1"/>
    <col min="9992" max="9992" width="21.85546875" style="214" bestFit="1" customWidth="1"/>
    <col min="9993" max="9993" width="17.140625" style="214" bestFit="1" customWidth="1"/>
    <col min="9994" max="9994" width="18.140625" style="214" bestFit="1" customWidth="1"/>
    <col min="9995" max="9995" width="26.42578125" style="214" customWidth="1"/>
    <col min="9996" max="10240" width="9.140625" style="214"/>
    <col min="10241" max="10241" width="8.7109375" style="214" bestFit="1" customWidth="1"/>
    <col min="10242" max="10242" width="13.28515625" style="214" customWidth="1"/>
    <col min="10243" max="10243" width="16.140625" style="214" bestFit="1" customWidth="1"/>
    <col min="10244" max="10244" width="23.5703125" style="214" customWidth="1"/>
    <col min="10245" max="10245" width="17.28515625" style="214" customWidth="1"/>
    <col min="10246" max="10246" width="20.5703125" style="214" bestFit="1" customWidth="1"/>
    <col min="10247" max="10247" width="17.140625" style="214" customWidth="1"/>
    <col min="10248" max="10248" width="21.85546875" style="214" bestFit="1" customWidth="1"/>
    <col min="10249" max="10249" width="17.140625" style="214" bestFit="1" customWidth="1"/>
    <col min="10250" max="10250" width="18.140625" style="214" bestFit="1" customWidth="1"/>
    <col min="10251" max="10251" width="26.42578125" style="214" customWidth="1"/>
    <col min="10252" max="10496" width="9.140625" style="214"/>
    <col min="10497" max="10497" width="8.7109375" style="214" bestFit="1" customWidth="1"/>
    <col min="10498" max="10498" width="13.28515625" style="214" customWidth="1"/>
    <col min="10499" max="10499" width="16.140625" style="214" bestFit="1" customWidth="1"/>
    <col min="10500" max="10500" width="23.5703125" style="214" customWidth="1"/>
    <col min="10501" max="10501" width="17.28515625" style="214" customWidth="1"/>
    <col min="10502" max="10502" width="20.5703125" style="214" bestFit="1" customWidth="1"/>
    <col min="10503" max="10503" width="17.140625" style="214" customWidth="1"/>
    <col min="10504" max="10504" width="21.85546875" style="214" bestFit="1" customWidth="1"/>
    <col min="10505" max="10505" width="17.140625" style="214" bestFit="1" customWidth="1"/>
    <col min="10506" max="10506" width="18.140625" style="214" bestFit="1" customWidth="1"/>
    <col min="10507" max="10507" width="26.42578125" style="214" customWidth="1"/>
    <col min="10508" max="10752" width="9.140625" style="214"/>
    <col min="10753" max="10753" width="8.7109375" style="214" bestFit="1" customWidth="1"/>
    <col min="10754" max="10754" width="13.28515625" style="214" customWidth="1"/>
    <col min="10755" max="10755" width="16.140625" style="214" bestFit="1" customWidth="1"/>
    <col min="10756" max="10756" width="23.5703125" style="214" customWidth="1"/>
    <col min="10757" max="10757" width="17.28515625" style="214" customWidth="1"/>
    <col min="10758" max="10758" width="20.5703125" style="214" bestFit="1" customWidth="1"/>
    <col min="10759" max="10759" width="17.140625" style="214" customWidth="1"/>
    <col min="10760" max="10760" width="21.85546875" style="214" bestFit="1" customWidth="1"/>
    <col min="10761" max="10761" width="17.140625" style="214" bestFit="1" customWidth="1"/>
    <col min="10762" max="10762" width="18.140625" style="214" bestFit="1" customWidth="1"/>
    <col min="10763" max="10763" width="26.42578125" style="214" customWidth="1"/>
    <col min="10764" max="11008" width="9.140625" style="214"/>
    <col min="11009" max="11009" width="8.7109375" style="214" bestFit="1" customWidth="1"/>
    <col min="11010" max="11010" width="13.28515625" style="214" customWidth="1"/>
    <col min="11011" max="11011" width="16.140625" style="214" bestFit="1" customWidth="1"/>
    <col min="11012" max="11012" width="23.5703125" style="214" customWidth="1"/>
    <col min="11013" max="11013" width="17.28515625" style="214" customWidth="1"/>
    <col min="11014" max="11014" width="20.5703125" style="214" bestFit="1" customWidth="1"/>
    <col min="11015" max="11015" width="17.140625" style="214" customWidth="1"/>
    <col min="11016" max="11016" width="21.85546875" style="214" bestFit="1" customWidth="1"/>
    <col min="11017" max="11017" width="17.140625" style="214" bestFit="1" customWidth="1"/>
    <col min="11018" max="11018" width="18.140625" style="214" bestFit="1" customWidth="1"/>
    <col min="11019" max="11019" width="26.42578125" style="214" customWidth="1"/>
    <col min="11020" max="11264" width="9.140625" style="214"/>
    <col min="11265" max="11265" width="8.7109375" style="214" bestFit="1" customWidth="1"/>
    <col min="11266" max="11266" width="13.28515625" style="214" customWidth="1"/>
    <col min="11267" max="11267" width="16.140625" style="214" bestFit="1" customWidth="1"/>
    <col min="11268" max="11268" width="23.5703125" style="214" customWidth="1"/>
    <col min="11269" max="11269" width="17.28515625" style="214" customWidth="1"/>
    <col min="11270" max="11270" width="20.5703125" style="214" bestFit="1" customWidth="1"/>
    <col min="11271" max="11271" width="17.140625" style="214" customWidth="1"/>
    <col min="11272" max="11272" width="21.85546875" style="214" bestFit="1" customWidth="1"/>
    <col min="11273" max="11273" width="17.140625" style="214" bestFit="1" customWidth="1"/>
    <col min="11274" max="11274" width="18.140625" style="214" bestFit="1" customWidth="1"/>
    <col min="11275" max="11275" width="26.42578125" style="214" customWidth="1"/>
    <col min="11276" max="11520" width="9.140625" style="214"/>
    <col min="11521" max="11521" width="8.7109375" style="214" bestFit="1" customWidth="1"/>
    <col min="11522" max="11522" width="13.28515625" style="214" customWidth="1"/>
    <col min="11523" max="11523" width="16.140625" style="214" bestFit="1" customWidth="1"/>
    <col min="11524" max="11524" width="23.5703125" style="214" customWidth="1"/>
    <col min="11525" max="11525" width="17.28515625" style="214" customWidth="1"/>
    <col min="11526" max="11526" width="20.5703125" style="214" bestFit="1" customWidth="1"/>
    <col min="11527" max="11527" width="17.140625" style="214" customWidth="1"/>
    <col min="11528" max="11528" width="21.85546875" style="214" bestFit="1" customWidth="1"/>
    <col min="11529" max="11529" width="17.140625" style="214" bestFit="1" customWidth="1"/>
    <col min="11530" max="11530" width="18.140625" style="214" bestFit="1" customWidth="1"/>
    <col min="11531" max="11531" width="26.42578125" style="214" customWidth="1"/>
    <col min="11532" max="11776" width="9.140625" style="214"/>
    <col min="11777" max="11777" width="8.7109375" style="214" bestFit="1" customWidth="1"/>
    <col min="11778" max="11778" width="13.28515625" style="214" customWidth="1"/>
    <col min="11779" max="11779" width="16.140625" style="214" bestFit="1" customWidth="1"/>
    <col min="11780" max="11780" width="23.5703125" style="214" customWidth="1"/>
    <col min="11781" max="11781" width="17.28515625" style="214" customWidth="1"/>
    <col min="11782" max="11782" width="20.5703125" style="214" bestFit="1" customWidth="1"/>
    <col min="11783" max="11783" width="17.140625" style="214" customWidth="1"/>
    <col min="11784" max="11784" width="21.85546875" style="214" bestFit="1" customWidth="1"/>
    <col min="11785" max="11785" width="17.140625" style="214" bestFit="1" customWidth="1"/>
    <col min="11786" max="11786" width="18.140625" style="214" bestFit="1" customWidth="1"/>
    <col min="11787" max="11787" width="26.42578125" style="214" customWidth="1"/>
    <col min="11788" max="12032" width="9.140625" style="214"/>
    <col min="12033" max="12033" width="8.7109375" style="214" bestFit="1" customWidth="1"/>
    <col min="12034" max="12034" width="13.28515625" style="214" customWidth="1"/>
    <col min="12035" max="12035" width="16.140625" style="214" bestFit="1" customWidth="1"/>
    <col min="12036" max="12036" width="23.5703125" style="214" customWidth="1"/>
    <col min="12037" max="12037" width="17.28515625" style="214" customWidth="1"/>
    <col min="12038" max="12038" width="20.5703125" style="214" bestFit="1" customWidth="1"/>
    <col min="12039" max="12039" width="17.140625" style="214" customWidth="1"/>
    <col min="12040" max="12040" width="21.85546875" style="214" bestFit="1" customWidth="1"/>
    <col min="12041" max="12041" width="17.140625" style="214" bestFit="1" customWidth="1"/>
    <col min="12042" max="12042" width="18.140625" style="214" bestFit="1" customWidth="1"/>
    <col min="12043" max="12043" width="26.42578125" style="214" customWidth="1"/>
    <col min="12044" max="12288" width="9.140625" style="214"/>
    <col min="12289" max="12289" width="8.7109375" style="214" bestFit="1" customWidth="1"/>
    <col min="12290" max="12290" width="13.28515625" style="214" customWidth="1"/>
    <col min="12291" max="12291" width="16.140625" style="214" bestFit="1" customWidth="1"/>
    <col min="12292" max="12292" width="23.5703125" style="214" customWidth="1"/>
    <col min="12293" max="12293" width="17.28515625" style="214" customWidth="1"/>
    <col min="12294" max="12294" width="20.5703125" style="214" bestFit="1" customWidth="1"/>
    <col min="12295" max="12295" width="17.140625" style="214" customWidth="1"/>
    <col min="12296" max="12296" width="21.85546875" style="214" bestFit="1" customWidth="1"/>
    <col min="12297" max="12297" width="17.140625" style="214" bestFit="1" customWidth="1"/>
    <col min="12298" max="12298" width="18.140625" style="214" bestFit="1" customWidth="1"/>
    <col min="12299" max="12299" width="26.42578125" style="214" customWidth="1"/>
    <col min="12300" max="12544" width="9.140625" style="214"/>
    <col min="12545" max="12545" width="8.7109375" style="214" bestFit="1" customWidth="1"/>
    <col min="12546" max="12546" width="13.28515625" style="214" customWidth="1"/>
    <col min="12547" max="12547" width="16.140625" style="214" bestFit="1" customWidth="1"/>
    <col min="12548" max="12548" width="23.5703125" style="214" customWidth="1"/>
    <col min="12549" max="12549" width="17.28515625" style="214" customWidth="1"/>
    <col min="12550" max="12550" width="20.5703125" style="214" bestFit="1" customWidth="1"/>
    <col min="12551" max="12551" width="17.140625" style="214" customWidth="1"/>
    <col min="12552" max="12552" width="21.85546875" style="214" bestFit="1" customWidth="1"/>
    <col min="12553" max="12553" width="17.140625" style="214" bestFit="1" customWidth="1"/>
    <col min="12554" max="12554" width="18.140625" style="214" bestFit="1" customWidth="1"/>
    <col min="12555" max="12555" width="26.42578125" style="214" customWidth="1"/>
    <col min="12556" max="12800" width="9.140625" style="214"/>
    <col min="12801" max="12801" width="8.7109375" style="214" bestFit="1" customWidth="1"/>
    <col min="12802" max="12802" width="13.28515625" style="214" customWidth="1"/>
    <col min="12803" max="12803" width="16.140625" style="214" bestFit="1" customWidth="1"/>
    <col min="12804" max="12804" width="23.5703125" style="214" customWidth="1"/>
    <col min="12805" max="12805" width="17.28515625" style="214" customWidth="1"/>
    <col min="12806" max="12806" width="20.5703125" style="214" bestFit="1" customWidth="1"/>
    <col min="12807" max="12807" width="17.140625" style="214" customWidth="1"/>
    <col min="12808" max="12808" width="21.85546875" style="214" bestFit="1" customWidth="1"/>
    <col min="12809" max="12809" width="17.140625" style="214" bestFit="1" customWidth="1"/>
    <col min="12810" max="12810" width="18.140625" style="214" bestFit="1" customWidth="1"/>
    <col min="12811" max="12811" width="26.42578125" style="214" customWidth="1"/>
    <col min="12812" max="13056" width="9.140625" style="214"/>
    <col min="13057" max="13057" width="8.7109375" style="214" bestFit="1" customWidth="1"/>
    <col min="13058" max="13058" width="13.28515625" style="214" customWidth="1"/>
    <col min="13059" max="13059" width="16.140625" style="214" bestFit="1" customWidth="1"/>
    <col min="13060" max="13060" width="23.5703125" style="214" customWidth="1"/>
    <col min="13061" max="13061" width="17.28515625" style="214" customWidth="1"/>
    <col min="13062" max="13062" width="20.5703125" style="214" bestFit="1" customWidth="1"/>
    <col min="13063" max="13063" width="17.140625" style="214" customWidth="1"/>
    <col min="13064" max="13064" width="21.85546875" style="214" bestFit="1" customWidth="1"/>
    <col min="13065" max="13065" width="17.140625" style="214" bestFit="1" customWidth="1"/>
    <col min="13066" max="13066" width="18.140625" style="214" bestFit="1" customWidth="1"/>
    <col min="13067" max="13067" width="26.42578125" style="214" customWidth="1"/>
    <col min="13068" max="13312" width="9.140625" style="214"/>
    <col min="13313" max="13313" width="8.7109375" style="214" bestFit="1" customWidth="1"/>
    <col min="13314" max="13314" width="13.28515625" style="214" customWidth="1"/>
    <col min="13315" max="13315" width="16.140625" style="214" bestFit="1" customWidth="1"/>
    <col min="13316" max="13316" width="23.5703125" style="214" customWidth="1"/>
    <col min="13317" max="13317" width="17.28515625" style="214" customWidth="1"/>
    <col min="13318" max="13318" width="20.5703125" style="214" bestFit="1" customWidth="1"/>
    <col min="13319" max="13319" width="17.140625" style="214" customWidth="1"/>
    <col min="13320" max="13320" width="21.85546875" style="214" bestFit="1" customWidth="1"/>
    <col min="13321" max="13321" width="17.140625" style="214" bestFit="1" customWidth="1"/>
    <col min="13322" max="13322" width="18.140625" style="214" bestFit="1" customWidth="1"/>
    <col min="13323" max="13323" width="26.42578125" style="214" customWidth="1"/>
    <col min="13324" max="13568" width="9.140625" style="214"/>
    <col min="13569" max="13569" width="8.7109375" style="214" bestFit="1" customWidth="1"/>
    <col min="13570" max="13570" width="13.28515625" style="214" customWidth="1"/>
    <col min="13571" max="13571" width="16.140625" style="214" bestFit="1" customWidth="1"/>
    <col min="13572" max="13572" width="23.5703125" style="214" customWidth="1"/>
    <col min="13573" max="13573" width="17.28515625" style="214" customWidth="1"/>
    <col min="13574" max="13574" width="20.5703125" style="214" bestFit="1" customWidth="1"/>
    <col min="13575" max="13575" width="17.140625" style="214" customWidth="1"/>
    <col min="13576" max="13576" width="21.85546875" style="214" bestFit="1" customWidth="1"/>
    <col min="13577" max="13577" width="17.140625" style="214" bestFit="1" customWidth="1"/>
    <col min="13578" max="13578" width="18.140625" style="214" bestFit="1" customWidth="1"/>
    <col min="13579" max="13579" width="26.42578125" style="214" customWidth="1"/>
    <col min="13580" max="13824" width="9.140625" style="214"/>
    <col min="13825" max="13825" width="8.7109375" style="214" bestFit="1" customWidth="1"/>
    <col min="13826" max="13826" width="13.28515625" style="214" customWidth="1"/>
    <col min="13827" max="13827" width="16.140625" style="214" bestFit="1" customWidth="1"/>
    <col min="13828" max="13828" width="23.5703125" style="214" customWidth="1"/>
    <col min="13829" max="13829" width="17.28515625" style="214" customWidth="1"/>
    <col min="13830" max="13830" width="20.5703125" style="214" bestFit="1" customWidth="1"/>
    <col min="13831" max="13831" width="17.140625" style="214" customWidth="1"/>
    <col min="13832" max="13832" width="21.85546875" style="214" bestFit="1" customWidth="1"/>
    <col min="13833" max="13833" width="17.140625" style="214" bestFit="1" customWidth="1"/>
    <col min="13834" max="13834" width="18.140625" style="214" bestFit="1" customWidth="1"/>
    <col min="13835" max="13835" width="26.42578125" style="214" customWidth="1"/>
    <col min="13836" max="14080" width="9.140625" style="214"/>
    <col min="14081" max="14081" width="8.7109375" style="214" bestFit="1" customWidth="1"/>
    <col min="14082" max="14082" width="13.28515625" style="214" customWidth="1"/>
    <col min="14083" max="14083" width="16.140625" style="214" bestFit="1" customWidth="1"/>
    <col min="14084" max="14084" width="23.5703125" style="214" customWidth="1"/>
    <col min="14085" max="14085" width="17.28515625" style="214" customWidth="1"/>
    <col min="14086" max="14086" width="20.5703125" style="214" bestFit="1" customWidth="1"/>
    <col min="14087" max="14087" width="17.140625" style="214" customWidth="1"/>
    <col min="14088" max="14088" width="21.85546875" style="214" bestFit="1" customWidth="1"/>
    <col min="14089" max="14089" width="17.140625" style="214" bestFit="1" customWidth="1"/>
    <col min="14090" max="14090" width="18.140625" style="214" bestFit="1" customWidth="1"/>
    <col min="14091" max="14091" width="26.42578125" style="214" customWidth="1"/>
    <col min="14092" max="14336" width="9.140625" style="214"/>
    <col min="14337" max="14337" width="8.7109375" style="214" bestFit="1" customWidth="1"/>
    <col min="14338" max="14338" width="13.28515625" style="214" customWidth="1"/>
    <col min="14339" max="14339" width="16.140625" style="214" bestFit="1" customWidth="1"/>
    <col min="14340" max="14340" width="23.5703125" style="214" customWidth="1"/>
    <col min="14341" max="14341" width="17.28515625" style="214" customWidth="1"/>
    <col min="14342" max="14342" width="20.5703125" style="214" bestFit="1" customWidth="1"/>
    <col min="14343" max="14343" width="17.140625" style="214" customWidth="1"/>
    <col min="14344" max="14344" width="21.85546875" style="214" bestFit="1" customWidth="1"/>
    <col min="14345" max="14345" width="17.140625" style="214" bestFit="1" customWidth="1"/>
    <col min="14346" max="14346" width="18.140625" style="214" bestFit="1" customWidth="1"/>
    <col min="14347" max="14347" width="26.42578125" style="214" customWidth="1"/>
    <col min="14348" max="14592" width="9.140625" style="214"/>
    <col min="14593" max="14593" width="8.7109375" style="214" bestFit="1" customWidth="1"/>
    <col min="14594" max="14594" width="13.28515625" style="214" customWidth="1"/>
    <col min="14595" max="14595" width="16.140625" style="214" bestFit="1" customWidth="1"/>
    <col min="14596" max="14596" width="23.5703125" style="214" customWidth="1"/>
    <col min="14597" max="14597" width="17.28515625" style="214" customWidth="1"/>
    <col min="14598" max="14598" width="20.5703125" style="214" bestFit="1" customWidth="1"/>
    <col min="14599" max="14599" width="17.140625" style="214" customWidth="1"/>
    <col min="14600" max="14600" width="21.85546875" style="214" bestFit="1" customWidth="1"/>
    <col min="14601" max="14601" width="17.140625" style="214" bestFit="1" customWidth="1"/>
    <col min="14602" max="14602" width="18.140625" style="214" bestFit="1" customWidth="1"/>
    <col min="14603" max="14603" width="26.42578125" style="214" customWidth="1"/>
    <col min="14604" max="14848" width="9.140625" style="214"/>
    <col min="14849" max="14849" width="8.7109375" style="214" bestFit="1" customWidth="1"/>
    <col min="14850" max="14850" width="13.28515625" style="214" customWidth="1"/>
    <col min="14851" max="14851" width="16.140625" style="214" bestFit="1" customWidth="1"/>
    <col min="14852" max="14852" width="23.5703125" style="214" customWidth="1"/>
    <col min="14853" max="14853" width="17.28515625" style="214" customWidth="1"/>
    <col min="14854" max="14854" width="20.5703125" style="214" bestFit="1" customWidth="1"/>
    <col min="14855" max="14855" width="17.140625" style="214" customWidth="1"/>
    <col min="14856" max="14856" width="21.85546875" style="214" bestFit="1" customWidth="1"/>
    <col min="14857" max="14857" width="17.140625" style="214" bestFit="1" customWidth="1"/>
    <col min="14858" max="14858" width="18.140625" style="214" bestFit="1" customWidth="1"/>
    <col min="14859" max="14859" width="26.42578125" style="214" customWidth="1"/>
    <col min="14860" max="15104" width="9.140625" style="214"/>
    <col min="15105" max="15105" width="8.7109375" style="214" bestFit="1" customWidth="1"/>
    <col min="15106" max="15106" width="13.28515625" style="214" customWidth="1"/>
    <col min="15107" max="15107" width="16.140625" style="214" bestFit="1" customWidth="1"/>
    <col min="15108" max="15108" width="23.5703125" style="214" customWidth="1"/>
    <col min="15109" max="15109" width="17.28515625" style="214" customWidth="1"/>
    <col min="15110" max="15110" width="20.5703125" style="214" bestFit="1" customWidth="1"/>
    <col min="15111" max="15111" width="17.140625" style="214" customWidth="1"/>
    <col min="15112" max="15112" width="21.85546875" style="214" bestFit="1" customWidth="1"/>
    <col min="15113" max="15113" width="17.140625" style="214" bestFit="1" customWidth="1"/>
    <col min="15114" max="15114" width="18.140625" style="214" bestFit="1" customWidth="1"/>
    <col min="15115" max="15115" width="26.42578125" style="214" customWidth="1"/>
    <col min="15116" max="15360" width="9.140625" style="214"/>
    <col min="15361" max="15361" width="8.7109375" style="214" bestFit="1" customWidth="1"/>
    <col min="15362" max="15362" width="13.28515625" style="214" customWidth="1"/>
    <col min="15363" max="15363" width="16.140625" style="214" bestFit="1" customWidth="1"/>
    <col min="15364" max="15364" width="23.5703125" style="214" customWidth="1"/>
    <col min="15365" max="15365" width="17.28515625" style="214" customWidth="1"/>
    <col min="15366" max="15366" width="20.5703125" style="214" bestFit="1" customWidth="1"/>
    <col min="15367" max="15367" width="17.140625" style="214" customWidth="1"/>
    <col min="15368" max="15368" width="21.85546875" style="214" bestFit="1" customWidth="1"/>
    <col min="15369" max="15369" width="17.140625" style="214" bestFit="1" customWidth="1"/>
    <col min="15370" max="15370" width="18.140625" style="214" bestFit="1" customWidth="1"/>
    <col min="15371" max="15371" width="26.42578125" style="214" customWidth="1"/>
    <col min="15372" max="15616" width="9.140625" style="214"/>
    <col min="15617" max="15617" width="8.7109375" style="214" bestFit="1" customWidth="1"/>
    <col min="15618" max="15618" width="13.28515625" style="214" customWidth="1"/>
    <col min="15619" max="15619" width="16.140625" style="214" bestFit="1" customWidth="1"/>
    <col min="15620" max="15620" width="23.5703125" style="214" customWidth="1"/>
    <col min="15621" max="15621" width="17.28515625" style="214" customWidth="1"/>
    <col min="15622" max="15622" width="20.5703125" style="214" bestFit="1" customWidth="1"/>
    <col min="15623" max="15623" width="17.140625" style="214" customWidth="1"/>
    <col min="15624" max="15624" width="21.85546875" style="214" bestFit="1" customWidth="1"/>
    <col min="15625" max="15625" width="17.140625" style="214" bestFit="1" customWidth="1"/>
    <col min="15626" max="15626" width="18.140625" style="214" bestFit="1" customWidth="1"/>
    <col min="15627" max="15627" width="26.42578125" style="214" customWidth="1"/>
    <col min="15628" max="15872" width="9.140625" style="214"/>
    <col min="15873" max="15873" width="8.7109375" style="214" bestFit="1" customWidth="1"/>
    <col min="15874" max="15874" width="13.28515625" style="214" customWidth="1"/>
    <col min="15875" max="15875" width="16.140625" style="214" bestFit="1" customWidth="1"/>
    <col min="15876" max="15876" width="23.5703125" style="214" customWidth="1"/>
    <col min="15877" max="15877" width="17.28515625" style="214" customWidth="1"/>
    <col min="15878" max="15878" width="20.5703125" style="214" bestFit="1" customWidth="1"/>
    <col min="15879" max="15879" width="17.140625" style="214" customWidth="1"/>
    <col min="15880" max="15880" width="21.85546875" style="214" bestFit="1" customWidth="1"/>
    <col min="15881" max="15881" width="17.140625" style="214" bestFit="1" customWidth="1"/>
    <col min="15882" max="15882" width="18.140625" style="214" bestFit="1" customWidth="1"/>
    <col min="15883" max="15883" width="26.42578125" style="214" customWidth="1"/>
    <col min="15884" max="16128" width="9.140625" style="214"/>
    <col min="16129" max="16129" width="8.7109375" style="214" bestFit="1" customWidth="1"/>
    <col min="16130" max="16130" width="13.28515625" style="214" customWidth="1"/>
    <col min="16131" max="16131" width="16.140625" style="214" bestFit="1" customWidth="1"/>
    <col min="16132" max="16132" width="23.5703125" style="214" customWidth="1"/>
    <col min="16133" max="16133" width="17.28515625" style="214" customWidth="1"/>
    <col min="16134" max="16134" width="20.5703125" style="214" bestFit="1" customWidth="1"/>
    <col min="16135" max="16135" width="17.140625" style="214" customWidth="1"/>
    <col min="16136" max="16136" width="21.85546875" style="214" bestFit="1" customWidth="1"/>
    <col min="16137" max="16137" width="17.140625" style="214" bestFit="1" customWidth="1"/>
    <col min="16138" max="16138" width="18.140625" style="214" bestFit="1" customWidth="1"/>
    <col min="16139" max="16139" width="26.42578125" style="214" customWidth="1"/>
    <col min="16140" max="16384" width="9.140625" style="214"/>
  </cols>
  <sheetData>
    <row r="1" spans="13:13" s="248" customFormat="1" x14ac:dyDescent="0.2">
      <c r="M1" s="249"/>
    </row>
    <row r="2" spans="13:13" s="248" customFormat="1" x14ac:dyDescent="0.2">
      <c r="M2" s="249"/>
    </row>
    <row r="3" spans="13:13" s="248" customFormat="1" x14ac:dyDescent="0.2">
      <c r="M3" s="249"/>
    </row>
    <row r="4" spans="13:13" s="248" customFormat="1" x14ac:dyDescent="0.2">
      <c r="M4" s="249"/>
    </row>
    <row r="5" spans="13:13" s="248" customFormat="1" x14ac:dyDescent="0.2">
      <c r="M5" s="249"/>
    </row>
    <row r="6" spans="13:13" s="248" customFormat="1" x14ac:dyDescent="0.2">
      <c r="M6" s="249"/>
    </row>
    <row r="7" spans="13:13" s="248" customFormat="1" x14ac:dyDescent="0.2">
      <c r="M7" s="249"/>
    </row>
    <row r="8" spans="13:13" s="248" customFormat="1" x14ac:dyDescent="0.2">
      <c r="M8" s="249"/>
    </row>
    <row r="9" spans="13:13" s="248" customFormat="1" x14ac:dyDescent="0.2">
      <c r="M9" s="249"/>
    </row>
    <row r="10" spans="13:13" s="248" customFormat="1" x14ac:dyDescent="0.2">
      <c r="M10" s="249"/>
    </row>
    <row r="11" spans="13:13" s="248" customFormat="1" x14ac:dyDescent="0.2">
      <c r="M11" s="249"/>
    </row>
    <row r="12" spans="13:13" s="248" customFormat="1" x14ac:dyDescent="0.2">
      <c r="M12" s="249"/>
    </row>
    <row r="13" spans="13:13" s="248" customFormat="1" x14ac:dyDescent="0.2">
      <c r="M13" s="249"/>
    </row>
    <row r="14" spans="13:13" s="248" customFormat="1" x14ac:dyDescent="0.2">
      <c r="M14" s="249"/>
    </row>
    <row r="15" spans="13:13" s="248" customFormat="1" x14ac:dyDescent="0.2">
      <c r="M15" s="249"/>
    </row>
    <row r="16" spans="13:13" s="248" customFormat="1" x14ac:dyDescent="0.2">
      <c r="M16" s="249"/>
    </row>
    <row r="17" spans="13:13" s="248" customFormat="1" x14ac:dyDescent="0.2">
      <c r="M17" s="249"/>
    </row>
    <row r="18" spans="13:13" s="248" customFormat="1" x14ac:dyDescent="0.2">
      <c r="M18" s="249"/>
    </row>
    <row r="19" spans="13:13" s="248" customFormat="1" x14ac:dyDescent="0.2">
      <c r="M19" s="249"/>
    </row>
    <row r="20" spans="13:13" s="248" customFormat="1" x14ac:dyDescent="0.2">
      <c r="M20" s="249"/>
    </row>
    <row r="21" spans="13:13" s="248" customFormat="1" x14ac:dyDescent="0.2">
      <c r="M21" s="249"/>
    </row>
    <row r="22" spans="13:13" s="248" customFormat="1" x14ac:dyDescent="0.2">
      <c r="M22" s="249"/>
    </row>
    <row r="23" spans="13:13" s="248" customFormat="1" x14ac:dyDescent="0.2">
      <c r="M23" s="249"/>
    </row>
    <row r="24" spans="13:13" s="248" customFormat="1" x14ac:dyDescent="0.2">
      <c r="M24" s="249"/>
    </row>
    <row r="25" spans="13:13" s="248" customFormat="1" x14ac:dyDescent="0.2">
      <c r="M25" s="249"/>
    </row>
    <row r="26" spans="13:13" s="248" customFormat="1" x14ac:dyDescent="0.2">
      <c r="M26" s="249"/>
    </row>
    <row r="27" spans="13:13" s="248" customFormat="1" x14ac:dyDescent="0.2">
      <c r="M27" s="249"/>
    </row>
    <row r="28" spans="13:13" s="248" customFormat="1" x14ac:dyDescent="0.2">
      <c r="M28" s="249"/>
    </row>
    <row r="29" spans="13:13" s="248" customFormat="1" x14ac:dyDescent="0.2">
      <c r="M29" s="249"/>
    </row>
    <row r="30" spans="13:13" s="248" customFormat="1" x14ac:dyDescent="0.2">
      <c r="M30" s="249"/>
    </row>
    <row r="31" spans="13:13" s="248" customFormat="1" x14ac:dyDescent="0.2">
      <c r="M31" s="249"/>
    </row>
    <row r="32" spans="13:13" s="248" customFormat="1" x14ac:dyDescent="0.2">
      <c r="M32" s="249"/>
    </row>
    <row r="33" spans="1:13" s="248" customFormat="1" x14ac:dyDescent="0.2">
      <c r="M33" s="249"/>
    </row>
    <row r="34" spans="1:13" s="248" customFormat="1" x14ac:dyDescent="0.2">
      <c r="M34" s="249"/>
    </row>
    <row r="35" spans="1:13" s="248" customFormat="1" x14ac:dyDescent="0.2">
      <c r="M35" s="249"/>
    </row>
    <row r="36" spans="1:13" s="248" customFormat="1" x14ac:dyDescent="0.2">
      <c r="M36" s="249"/>
    </row>
    <row r="37" spans="1:13" s="248" customFormat="1" ht="15.75" customHeight="1" x14ac:dyDescent="0.2">
      <c r="A37" s="248" t="s">
        <v>787</v>
      </c>
      <c r="I37" s="158" t="str">
        <f>IF(OR(SCH_MODE=3, SCH_MODE=4), "** Slave controller (CNTRL2) not shown **","** Tie VCCX to GND if not used **")</f>
        <v>** Tie VCCX to GND if not used **</v>
      </c>
    </row>
    <row r="38" spans="1:13" s="248" customFormat="1" ht="15.75" customHeight="1" x14ac:dyDescent="0.2">
      <c r="A38" s="248" t="s">
        <v>786</v>
      </c>
      <c r="I38" s="279" t="str">
        <f>IF(OR(SCH_MODE=3, SCH_MODE=4),"** Tie VCCX to GND if not used **", "")</f>
        <v/>
      </c>
    </row>
    <row r="39" spans="1:13" s="248" customFormat="1" ht="15.75" customHeight="1" x14ac:dyDescent="0.2">
      <c r="A39" s="248" t="s">
        <v>785</v>
      </c>
    </row>
    <row r="40" spans="1:13" s="248" customFormat="1" ht="15.75" customHeight="1" x14ac:dyDescent="0.2">
      <c r="A40" s="248" t="s">
        <v>788</v>
      </c>
    </row>
    <row r="41" spans="1:13" s="248" customFormat="1" ht="15.75" customHeight="1" x14ac:dyDescent="0.2">
      <c r="A41" s="248" t="s">
        <v>789</v>
      </c>
    </row>
    <row r="42" spans="1:13" s="248" customFormat="1" ht="24.75" customHeight="1" x14ac:dyDescent="0.25">
      <c r="A42" s="253" t="str">
        <f>CHOOSE(MODE, "VIN = "&amp;VIN_min&amp;" V to "&amp;VIN_max&amp;" V, VOUT1 = "&amp; Vout &amp;" V, IOUT1 = " &amp;Iout &amp;"A"&amp;", VOUT2 = "&amp; Vout2 &amp;" V, IOUT2 = " &amp;Iout2 &amp; " A,  Fsw = " &amp; Fsw/1000 &amp;" kHz, Current Limit = "&amp;ROUNDUP(Ilimit_DC,0)&amp;" A", "VIN = "&amp;VIN_min&amp;" V to "&amp;VIN_max&amp;" V, VOUT = "&amp; Vout &amp;" V, IOUT = " &amp;Iout &amp; " A,  Fsw = " &amp; Fsw/1000 &amp;" kHz, Current Limit = "&amp;ROUNDUP(Ilimit_DC,0)&amp;" A")</f>
        <v>VIN = 20 V to 26 V, VOUT1 = 3.3 V, IOUT1 = 4A, VOUT2 = 5 V, IOUT2 = 8 A,  Fsw = 2100 kHz, Current Limit = 9 A</v>
      </c>
    </row>
    <row r="43" spans="1:13" ht="24.75" customHeight="1" thickBot="1" x14ac:dyDescent="0.25">
      <c r="A43" s="216" t="s">
        <v>755</v>
      </c>
    </row>
    <row r="44" spans="1:13" ht="18" customHeight="1" x14ac:dyDescent="0.2">
      <c r="A44" s="487" t="s">
        <v>254</v>
      </c>
      <c r="B44" s="488" t="s">
        <v>253</v>
      </c>
      <c r="C44" s="488" t="s">
        <v>7</v>
      </c>
      <c r="D44" s="690" t="s">
        <v>107</v>
      </c>
      <c r="E44" s="691"/>
      <c r="F44" s="691"/>
      <c r="G44" s="692"/>
      <c r="H44" s="489" t="s">
        <v>243</v>
      </c>
      <c r="I44" s="489" t="s">
        <v>159</v>
      </c>
      <c r="J44" s="489" t="s">
        <v>244</v>
      </c>
      <c r="L44" s="215"/>
      <c r="M44" s="214"/>
    </row>
    <row r="45" spans="1:13" s="221" customFormat="1" ht="15.75" customHeight="1" x14ac:dyDescent="0.2">
      <c r="A45" s="218">
        <v>2</v>
      </c>
      <c r="B45" s="219" t="s">
        <v>463</v>
      </c>
      <c r="C45" s="233">
        <v>0.1</v>
      </c>
      <c r="D45" s="710">
        <f t="shared" ref="D45:D56" si="0">C45</f>
        <v>0.1</v>
      </c>
      <c r="E45" s="711"/>
      <c r="F45" s="711"/>
      <c r="G45" s="234"/>
      <c r="H45" s="235" t="s">
        <v>248</v>
      </c>
      <c r="I45" s="220" t="s">
        <v>245</v>
      </c>
      <c r="J45" s="220" t="s">
        <v>245</v>
      </c>
      <c r="L45" s="222"/>
    </row>
    <row r="46" spans="1:13" s="221" customFormat="1" ht="15.75" x14ac:dyDescent="0.2">
      <c r="A46" s="217">
        <v>1</v>
      </c>
      <c r="B46" s="236" t="s">
        <v>249</v>
      </c>
      <c r="C46" s="244">
        <f>'Design Regulator'!D71</f>
        <v>27</v>
      </c>
      <c r="D46" s="712">
        <f t="shared" si="0"/>
        <v>27</v>
      </c>
      <c r="E46" s="713"/>
      <c r="F46" s="713"/>
      <c r="G46" s="238"/>
      <c r="H46" s="239" t="s">
        <v>248</v>
      </c>
      <c r="I46" s="240" t="s">
        <v>245</v>
      </c>
      <c r="J46" s="240" t="s">
        <v>245</v>
      </c>
      <c r="L46" s="222"/>
    </row>
    <row r="47" spans="1:13" s="221" customFormat="1" ht="15.75" x14ac:dyDescent="0.2">
      <c r="A47" s="217">
        <v>1</v>
      </c>
      <c r="B47" s="236" t="s">
        <v>250</v>
      </c>
      <c r="C47" s="237">
        <f>'Design Regulator'!D72</f>
        <v>150</v>
      </c>
      <c r="D47" s="714">
        <f t="shared" si="0"/>
        <v>150</v>
      </c>
      <c r="E47" s="715"/>
      <c r="F47" s="715"/>
      <c r="G47" s="238"/>
      <c r="H47" s="239" t="s">
        <v>248</v>
      </c>
      <c r="I47" s="240" t="s">
        <v>245</v>
      </c>
      <c r="J47" s="240" t="s">
        <v>245</v>
      </c>
      <c r="L47" s="222"/>
    </row>
    <row r="48" spans="1:13" s="221" customFormat="1" ht="15.75" x14ac:dyDescent="0.2">
      <c r="A48" s="217">
        <v>1</v>
      </c>
      <c r="B48" s="236" t="s">
        <v>770</v>
      </c>
      <c r="C48" s="244">
        <f>IF(MODE=1, 'Variable Management'!E354, "N/A")</f>
        <v>18.000000000000004</v>
      </c>
      <c r="D48" s="712">
        <f t="shared" ref="D48:D49" si="1">C48</f>
        <v>18.000000000000004</v>
      </c>
      <c r="E48" s="713"/>
      <c r="F48" s="713"/>
      <c r="G48" s="238"/>
      <c r="H48" s="239" t="str">
        <f>IF(MODE=1, "0603", "-")</f>
        <v>0603</v>
      </c>
      <c r="I48" s="239" t="str">
        <f>IF(MODE=1, "Std", "-")</f>
        <v>Std</v>
      </c>
      <c r="J48" s="239" t="str">
        <f>IF(MODE=1, "Std", "-")</f>
        <v>Std</v>
      </c>
      <c r="L48" s="222"/>
    </row>
    <row r="49" spans="1:12" s="221" customFormat="1" ht="15.75" x14ac:dyDescent="0.2">
      <c r="A49" s="217">
        <v>1</v>
      </c>
      <c r="B49" s="236" t="s">
        <v>771</v>
      </c>
      <c r="C49" s="237">
        <f>IF(MODE=1, 'Variable Management'!E355, "N/A")</f>
        <v>100</v>
      </c>
      <c r="D49" s="714">
        <f t="shared" si="1"/>
        <v>100</v>
      </c>
      <c r="E49" s="715"/>
      <c r="F49" s="715"/>
      <c r="G49" s="238"/>
      <c r="H49" s="239" t="str">
        <f>IF(MODE=1, "0603", "-")</f>
        <v>0603</v>
      </c>
      <c r="I49" s="239" t="str">
        <f>IF(MODE=1, "Std", "-")</f>
        <v>Std</v>
      </c>
      <c r="J49" s="239" t="str">
        <f>IF(MODE=1, "Std", "-")</f>
        <v>Std</v>
      </c>
      <c r="L49" s="222"/>
    </row>
    <row r="50" spans="1:12" s="221" customFormat="1" ht="15.75" x14ac:dyDescent="0.2">
      <c r="A50" s="223">
        <v>1</v>
      </c>
      <c r="B50" s="224" t="s">
        <v>769</v>
      </c>
      <c r="C50" s="438">
        <f>Cres_u*1000000000</f>
        <v>470</v>
      </c>
      <c r="D50" s="693">
        <f>C50</f>
        <v>470</v>
      </c>
      <c r="E50" s="694"/>
      <c r="F50" s="694"/>
      <c r="G50" s="439"/>
      <c r="H50" s="226" t="s">
        <v>248</v>
      </c>
      <c r="I50" s="227" t="s">
        <v>245</v>
      </c>
      <c r="J50" s="227" t="s">
        <v>245</v>
      </c>
      <c r="L50" s="222"/>
    </row>
    <row r="51" spans="1:12" s="221" customFormat="1" ht="15.75" x14ac:dyDescent="0.2">
      <c r="A51" s="223">
        <v>1</v>
      </c>
      <c r="B51" s="224" t="s">
        <v>462</v>
      </c>
      <c r="C51" s="438">
        <f>Cdither*1000000000</f>
        <v>10</v>
      </c>
      <c r="D51" s="693">
        <f>C51</f>
        <v>10</v>
      </c>
      <c r="E51" s="694"/>
      <c r="F51" s="694"/>
      <c r="G51" s="439"/>
      <c r="H51" s="226" t="s">
        <v>248</v>
      </c>
      <c r="I51" s="227" t="s">
        <v>245</v>
      </c>
      <c r="J51" s="227" t="s">
        <v>245</v>
      </c>
      <c r="L51" s="222"/>
    </row>
    <row r="52" spans="1:12" s="221" customFormat="1" ht="15.75" x14ac:dyDescent="0.2">
      <c r="A52" s="217">
        <f>ROUNDUP('Design Regulator'!E44/10,0)</f>
        <v>5</v>
      </c>
      <c r="B52" s="236" t="s">
        <v>251</v>
      </c>
      <c r="C52" s="243">
        <v>10</v>
      </c>
      <c r="D52" s="718">
        <f>C52</f>
        <v>10</v>
      </c>
      <c r="E52" s="719"/>
      <c r="F52" s="719"/>
      <c r="G52" s="238"/>
      <c r="H52" s="239">
        <v>1210</v>
      </c>
      <c r="I52" s="240" t="s">
        <v>245</v>
      </c>
      <c r="J52" s="240" t="s">
        <v>245</v>
      </c>
      <c r="L52" s="222"/>
    </row>
    <row r="53" spans="1:12" s="221" customFormat="1" ht="15.75" x14ac:dyDescent="0.2">
      <c r="A53" s="217">
        <f>ROUNDUP('Design Regulator'!E35/47,0)</f>
        <v>1</v>
      </c>
      <c r="B53" s="236" t="s">
        <v>252</v>
      </c>
      <c r="C53" s="243">
        <v>47</v>
      </c>
      <c r="D53" s="725">
        <f>C53</f>
        <v>47</v>
      </c>
      <c r="E53" s="726"/>
      <c r="F53" s="726"/>
      <c r="G53" s="238"/>
      <c r="H53" s="239">
        <v>1210</v>
      </c>
      <c r="I53" s="240" t="s">
        <v>245</v>
      </c>
      <c r="J53" s="240" t="s">
        <v>245</v>
      </c>
      <c r="L53" s="222"/>
    </row>
    <row r="54" spans="1:12" s="221" customFormat="1" ht="15.75" x14ac:dyDescent="0.2">
      <c r="A54" s="217">
        <v>2</v>
      </c>
      <c r="B54" s="236" t="s">
        <v>767</v>
      </c>
      <c r="C54" s="244">
        <f>'Design Regulator'!E52</f>
        <v>100</v>
      </c>
      <c r="D54" s="712">
        <f>C54</f>
        <v>100</v>
      </c>
      <c r="E54" s="713"/>
      <c r="F54" s="713"/>
      <c r="G54" s="238"/>
      <c r="H54" s="239" t="s">
        <v>248</v>
      </c>
      <c r="I54" s="240" t="s">
        <v>245</v>
      </c>
      <c r="J54" s="240" t="s">
        <v>245</v>
      </c>
      <c r="L54" s="222"/>
    </row>
    <row r="55" spans="1:12" s="221" customFormat="1" ht="15.75" x14ac:dyDescent="0.2">
      <c r="A55" s="228">
        <v>3</v>
      </c>
      <c r="B55" s="229" t="s">
        <v>768</v>
      </c>
      <c r="C55" s="242">
        <v>2.2000000000000002</v>
      </c>
      <c r="D55" s="716">
        <f t="shared" si="0"/>
        <v>2.2000000000000002</v>
      </c>
      <c r="E55" s="717"/>
      <c r="F55" s="717"/>
      <c r="G55" s="241"/>
      <c r="H55" s="231" t="s">
        <v>248</v>
      </c>
      <c r="I55" s="232" t="s">
        <v>245</v>
      </c>
      <c r="J55" s="232" t="s">
        <v>245</v>
      </c>
      <c r="L55" s="222"/>
    </row>
    <row r="56" spans="1:12" s="221" customFormat="1" ht="15.75" x14ac:dyDescent="0.2">
      <c r="A56" s="228">
        <v>1</v>
      </c>
      <c r="B56" s="229" t="s">
        <v>772</v>
      </c>
      <c r="C56" s="242">
        <v>0.47</v>
      </c>
      <c r="D56" s="716">
        <f t="shared" si="0"/>
        <v>0.47</v>
      </c>
      <c r="E56" s="717"/>
      <c r="F56" s="717"/>
      <c r="G56" s="241"/>
      <c r="H56" s="231" t="s">
        <v>248</v>
      </c>
      <c r="I56" s="232" t="s">
        <v>245</v>
      </c>
      <c r="J56" s="232" t="s">
        <v>245</v>
      </c>
      <c r="L56" s="222"/>
    </row>
    <row r="57" spans="1:12" s="221" customFormat="1" ht="15.75" customHeight="1" x14ac:dyDescent="0.2">
      <c r="A57" s="228">
        <v>2</v>
      </c>
      <c r="B57" s="229" t="s">
        <v>760</v>
      </c>
      <c r="C57" s="245" t="s">
        <v>246</v>
      </c>
      <c r="D57" s="723" t="s">
        <v>802</v>
      </c>
      <c r="E57" s="724"/>
      <c r="F57" s="724"/>
      <c r="G57" s="241"/>
      <c r="H57" s="246" t="s">
        <v>256</v>
      </c>
      <c r="I57" s="232" t="s">
        <v>256</v>
      </c>
      <c r="J57" s="232" t="s">
        <v>255</v>
      </c>
      <c r="L57" s="222"/>
    </row>
    <row r="58" spans="1:12" s="221" customFormat="1" ht="15.75" x14ac:dyDescent="0.2">
      <c r="A58" s="217">
        <v>1</v>
      </c>
      <c r="B58" s="236" t="s">
        <v>758</v>
      </c>
      <c r="C58" s="247">
        <f>'Design Regulator'!E28</f>
        <v>0.68</v>
      </c>
      <c r="D58" s="707" t="str">
        <f>"Inductor, "&amp;Lf*1000000&amp;"µH, "&amp;Rdcr*1000&amp;"mΩ, &gt;"&amp;ROUNDUP(Ilimit_DC*1.3/SCH_MODE,0)&amp;"A"</f>
        <v>Inductor, 0.68µH, 5mΩ, &gt;12A</v>
      </c>
      <c r="E58" s="708"/>
      <c r="F58" s="708"/>
      <c r="G58" s="709"/>
      <c r="H58" s="240" t="s">
        <v>256</v>
      </c>
      <c r="I58" s="240" t="s">
        <v>256</v>
      </c>
      <c r="J58" s="240" t="s">
        <v>255</v>
      </c>
      <c r="L58" s="222"/>
    </row>
    <row r="59" spans="1:12" s="221" customFormat="1" ht="15.75" x14ac:dyDescent="0.2">
      <c r="A59" s="217">
        <v>1</v>
      </c>
      <c r="B59" s="236" t="s">
        <v>759</v>
      </c>
      <c r="C59" s="247">
        <f>IF(MODE = 1, 'Design Regulator'!J28, 'Design Regulator'!E28)</f>
        <v>1</v>
      </c>
      <c r="D59" s="707" t="str">
        <f>IF(MODE=1, "Inductor, "&amp;Lo_2*1000000&amp;"µH, "&amp;Rdcr2*1000&amp;"mΩ, &gt;"&amp;ROUNDUP(Ilimit2_DC*1.3,0)&amp;"A", "Inductor, "&amp;Lf*1000000&amp;"µH, "&amp;Rdcr*1000&amp;"mΩ, &gt;"&amp;ROUNDUP(Ilimit_DC*1.3/SCH_MODE,0)&amp;"A")</f>
        <v>Inductor, 1µH, 9mΩ, &gt;7A</v>
      </c>
      <c r="E59" s="708"/>
      <c r="F59" s="708"/>
      <c r="G59" s="709"/>
      <c r="H59" s="240" t="s">
        <v>256</v>
      </c>
      <c r="I59" s="240" t="s">
        <v>256</v>
      </c>
      <c r="J59" s="240" t="s">
        <v>255</v>
      </c>
      <c r="L59" s="222"/>
    </row>
    <row r="60" spans="1:12" s="221" customFormat="1" ht="15.75" x14ac:dyDescent="0.2">
      <c r="A60" s="228">
        <v>2</v>
      </c>
      <c r="B60" s="229" t="s">
        <v>523</v>
      </c>
      <c r="C60" s="245" t="s">
        <v>246</v>
      </c>
      <c r="D60" s="701">
        <f>'Design Regulator'!E83</f>
        <v>6</v>
      </c>
      <c r="E60" s="702"/>
      <c r="F60" s="702"/>
      <c r="G60" s="703"/>
      <c r="H60" s="232" t="s">
        <v>245</v>
      </c>
      <c r="I60" s="232" t="str">
        <f>'Design Regulator'!E81</f>
        <v>NVMFS5H663, NVMFS5C628NL</v>
      </c>
      <c r="J60" s="232" t="s">
        <v>256</v>
      </c>
      <c r="L60" s="222"/>
    </row>
    <row r="61" spans="1:12" s="221" customFormat="1" ht="15.75" x14ac:dyDescent="0.2">
      <c r="A61" s="228">
        <v>2</v>
      </c>
      <c r="B61" s="229" t="s">
        <v>524</v>
      </c>
      <c r="C61" s="245" t="s">
        <v>246</v>
      </c>
      <c r="D61" s="701">
        <f>'Design Regulator'!H83</f>
        <v>6</v>
      </c>
      <c r="E61" s="702"/>
      <c r="F61" s="702"/>
      <c r="G61" s="703"/>
      <c r="H61" s="232" t="s">
        <v>245</v>
      </c>
      <c r="I61" s="232" t="str">
        <f>IF(MODE=1, 'Design Regulator'!H81, 'Design Regulator'!E81)</f>
        <v>NVMFS5H663, NVMFS5C628NL</v>
      </c>
      <c r="J61" s="232" t="s">
        <v>256</v>
      </c>
      <c r="L61" s="222"/>
    </row>
    <row r="62" spans="1:12" s="221" customFormat="1" ht="15.75" x14ac:dyDescent="0.2">
      <c r="A62" s="223">
        <v>1</v>
      </c>
      <c r="B62" s="224" t="s">
        <v>257</v>
      </c>
      <c r="C62" s="225">
        <f>'Design Regulator'!D70</f>
        <v>0.97599999999999998</v>
      </c>
      <c r="D62" s="698">
        <f t="shared" ref="D62:D74" si="2">C62</f>
        <v>0.97599999999999998</v>
      </c>
      <c r="E62" s="699"/>
      <c r="F62" s="699"/>
      <c r="G62" s="700"/>
      <c r="H62" s="226" t="s">
        <v>248</v>
      </c>
      <c r="I62" s="227" t="s">
        <v>245</v>
      </c>
      <c r="J62" s="227" t="s">
        <v>245</v>
      </c>
      <c r="L62" s="222"/>
    </row>
    <row r="63" spans="1:12" s="221" customFormat="1" ht="15.75" x14ac:dyDescent="0.2">
      <c r="A63" s="223">
        <v>1</v>
      </c>
      <c r="B63" s="224" t="s">
        <v>761</v>
      </c>
      <c r="C63" s="225">
        <f>IF(MODE=1, 'Variable Management'!E353, "N/A")</f>
        <v>1.47</v>
      </c>
      <c r="D63" s="698">
        <f t="shared" ref="D63" si="3">C63</f>
        <v>1.47</v>
      </c>
      <c r="E63" s="699"/>
      <c r="F63" s="699"/>
      <c r="G63" s="700"/>
      <c r="H63" s="239" t="str">
        <f>IF(MODE=1, "0603", "-")</f>
        <v>0603</v>
      </c>
      <c r="I63" s="239" t="str">
        <f>IF(MODE=1, "Std", "-")</f>
        <v>Std</v>
      </c>
      <c r="J63" s="239" t="str">
        <f>IF(MODE=1, "Std", "-")</f>
        <v>Std</v>
      </c>
      <c r="L63" s="222"/>
    </row>
    <row r="64" spans="1:12" s="221" customFormat="1" ht="15.75" x14ac:dyDescent="0.2">
      <c r="A64" s="223">
        <v>1</v>
      </c>
      <c r="B64" s="224" t="s">
        <v>762</v>
      </c>
      <c r="C64" s="437">
        <f>Rs*1000</f>
        <v>10</v>
      </c>
      <c r="D64" s="704">
        <f t="shared" si="2"/>
        <v>10</v>
      </c>
      <c r="E64" s="705"/>
      <c r="F64" s="705"/>
      <c r="G64" s="706"/>
      <c r="H64" s="226" t="s">
        <v>763</v>
      </c>
      <c r="I64" s="227" t="s">
        <v>245</v>
      </c>
      <c r="J64" s="227" t="s">
        <v>245</v>
      </c>
      <c r="L64" s="222"/>
    </row>
    <row r="65" spans="1:12" s="221" customFormat="1" ht="15.75" x14ac:dyDescent="0.2">
      <c r="A65" s="223">
        <v>1</v>
      </c>
      <c r="B65" s="224" t="s">
        <v>764</v>
      </c>
      <c r="C65" s="437">
        <f>IF(MODE=1, Rs_Ch2*1000, Rs*1000)</f>
        <v>10</v>
      </c>
      <c r="D65" s="704">
        <f t="shared" ref="D65" si="4">C65</f>
        <v>10</v>
      </c>
      <c r="E65" s="705"/>
      <c r="F65" s="705"/>
      <c r="G65" s="706"/>
      <c r="H65" s="226" t="s">
        <v>763</v>
      </c>
      <c r="I65" s="227" t="s">
        <v>245</v>
      </c>
      <c r="J65" s="227" t="s">
        <v>245</v>
      </c>
      <c r="L65" s="222"/>
    </row>
    <row r="66" spans="1:12" s="221" customFormat="1" ht="15.75" x14ac:dyDescent="0.2">
      <c r="A66" s="223">
        <v>1</v>
      </c>
      <c r="B66" s="224" t="s">
        <v>460</v>
      </c>
      <c r="C66" s="225">
        <f>'Design Regulator'!E13</f>
        <v>10.5</v>
      </c>
      <c r="D66" s="698">
        <f t="shared" si="2"/>
        <v>10.5</v>
      </c>
      <c r="E66" s="699"/>
      <c r="F66" s="699"/>
      <c r="G66" s="700"/>
      <c r="H66" s="226" t="s">
        <v>248</v>
      </c>
      <c r="I66" s="227" t="s">
        <v>245</v>
      </c>
      <c r="J66" s="227" t="s">
        <v>245</v>
      </c>
      <c r="L66" s="222"/>
    </row>
    <row r="67" spans="1:12" s="221" customFormat="1" ht="15.75" x14ac:dyDescent="0.2">
      <c r="A67" s="223">
        <v>1</v>
      </c>
      <c r="B67" s="224" t="s">
        <v>259</v>
      </c>
      <c r="C67" s="225">
        <f>'Design Regulator'!E65</f>
        <v>10</v>
      </c>
      <c r="D67" s="698">
        <f t="shared" si="2"/>
        <v>10</v>
      </c>
      <c r="E67" s="699"/>
      <c r="F67" s="699"/>
      <c r="G67" s="700"/>
      <c r="H67" s="226" t="s">
        <v>248</v>
      </c>
      <c r="I67" s="227" t="s">
        <v>245</v>
      </c>
      <c r="J67" s="227" t="s">
        <v>245</v>
      </c>
      <c r="L67" s="222"/>
    </row>
    <row r="68" spans="1:12" s="221" customFormat="1" ht="15.75" x14ac:dyDescent="0.2">
      <c r="A68" s="223">
        <v>1</v>
      </c>
      <c r="B68" s="224" t="s">
        <v>260</v>
      </c>
      <c r="C68" s="225">
        <f>'Design Regulator'!E66</f>
        <v>2.21</v>
      </c>
      <c r="D68" s="698">
        <f t="shared" si="2"/>
        <v>2.21</v>
      </c>
      <c r="E68" s="699"/>
      <c r="F68" s="699"/>
      <c r="G68" s="700"/>
      <c r="H68" s="226" t="s">
        <v>248</v>
      </c>
      <c r="I68" s="227" t="s">
        <v>245</v>
      </c>
      <c r="J68" s="227" t="s">
        <v>245</v>
      </c>
      <c r="L68" s="222"/>
    </row>
    <row r="69" spans="1:12" s="221" customFormat="1" ht="15.75" x14ac:dyDescent="0.2">
      <c r="A69" s="223">
        <v>1</v>
      </c>
      <c r="B69" s="224" t="s">
        <v>765</v>
      </c>
      <c r="C69" s="225">
        <f>IF(MODE=1, 'Design Regulator'!J65, "N/A")</f>
        <v>10</v>
      </c>
      <c r="D69" s="698">
        <f t="shared" ref="D69:D70" si="5">C69</f>
        <v>10</v>
      </c>
      <c r="E69" s="699"/>
      <c r="F69" s="699"/>
      <c r="G69" s="700"/>
      <c r="H69" s="239" t="str">
        <f>IF(MODE=1, "0603", "-")</f>
        <v>0603</v>
      </c>
      <c r="I69" s="239" t="str">
        <f>IF(MODE=1, "Std", "-")</f>
        <v>Std</v>
      </c>
      <c r="J69" s="239" t="str">
        <f>IF(MODE=1, "Std", "-")</f>
        <v>Std</v>
      </c>
      <c r="L69" s="222"/>
    </row>
    <row r="70" spans="1:12" s="221" customFormat="1" ht="15.75" x14ac:dyDescent="0.2">
      <c r="A70" s="223">
        <v>1</v>
      </c>
      <c r="B70" s="224" t="s">
        <v>766</v>
      </c>
      <c r="C70" s="225">
        <f>IF(MODE=1, 'Design Regulator'!J66, "N/A")</f>
        <v>1.37</v>
      </c>
      <c r="D70" s="698">
        <f t="shared" si="5"/>
        <v>1.37</v>
      </c>
      <c r="E70" s="699"/>
      <c r="F70" s="699"/>
      <c r="G70" s="700"/>
      <c r="H70" s="239" t="str">
        <f>IF(MODE=1, "0603", "-")</f>
        <v>0603</v>
      </c>
      <c r="I70" s="239" t="str">
        <f>IF(MODE=1, "Std", "-")</f>
        <v>Std</v>
      </c>
      <c r="J70" s="239" t="str">
        <f>IF(MODE=1, "Std", "-")</f>
        <v>Std</v>
      </c>
      <c r="L70" s="222"/>
    </row>
    <row r="71" spans="1:12" s="221" customFormat="1" ht="15.75" x14ac:dyDescent="0.2">
      <c r="A71" s="228">
        <v>2</v>
      </c>
      <c r="B71" s="229" t="s">
        <v>773</v>
      </c>
      <c r="C71" s="230">
        <v>100</v>
      </c>
      <c r="D71" s="695">
        <f t="shared" si="2"/>
        <v>100</v>
      </c>
      <c r="E71" s="696"/>
      <c r="F71" s="696"/>
      <c r="G71" s="697"/>
      <c r="H71" s="231" t="s">
        <v>248</v>
      </c>
      <c r="I71" s="232" t="s">
        <v>245</v>
      </c>
      <c r="J71" s="232" t="s">
        <v>245</v>
      </c>
      <c r="L71" s="222"/>
    </row>
    <row r="72" spans="1:12" s="221" customFormat="1" ht="15.75" x14ac:dyDescent="0.2">
      <c r="A72" s="223">
        <v>2</v>
      </c>
      <c r="B72" s="224" t="s">
        <v>801</v>
      </c>
      <c r="C72" s="225">
        <v>100</v>
      </c>
      <c r="D72" s="698">
        <f t="shared" si="2"/>
        <v>100</v>
      </c>
      <c r="E72" s="699"/>
      <c r="F72" s="699"/>
      <c r="G72" s="700"/>
      <c r="H72" s="226" t="s">
        <v>248</v>
      </c>
      <c r="I72" s="227" t="s">
        <v>245</v>
      </c>
      <c r="J72" s="227" t="s">
        <v>245</v>
      </c>
      <c r="L72" s="222"/>
    </row>
    <row r="73" spans="1:12" s="221" customFormat="1" ht="15.75" x14ac:dyDescent="0.2">
      <c r="A73" s="223">
        <v>1</v>
      </c>
      <c r="B73" s="224" t="s">
        <v>800</v>
      </c>
      <c r="C73" s="225">
        <v>100</v>
      </c>
      <c r="D73" s="698">
        <f t="shared" si="2"/>
        <v>100</v>
      </c>
      <c r="E73" s="699"/>
      <c r="F73" s="699"/>
      <c r="G73" s="700"/>
      <c r="H73" s="226" t="s">
        <v>248</v>
      </c>
      <c r="I73" s="227" t="s">
        <v>245</v>
      </c>
      <c r="J73" s="227" t="s">
        <v>245</v>
      </c>
      <c r="L73" s="222"/>
    </row>
    <row r="74" spans="1:12" s="221" customFormat="1" ht="15.75" x14ac:dyDescent="0.2">
      <c r="A74" s="228">
        <v>1</v>
      </c>
      <c r="B74" s="229" t="s">
        <v>258</v>
      </c>
      <c r="C74" s="245">
        <v>2.2000000000000002</v>
      </c>
      <c r="D74" s="720">
        <f t="shared" si="2"/>
        <v>2.2000000000000002</v>
      </c>
      <c r="E74" s="721"/>
      <c r="F74" s="721"/>
      <c r="G74" s="722"/>
      <c r="H74" s="231" t="s">
        <v>248</v>
      </c>
      <c r="I74" s="232" t="s">
        <v>245</v>
      </c>
      <c r="J74" s="232" t="s">
        <v>245</v>
      </c>
      <c r="L74" s="222"/>
    </row>
    <row r="75" spans="1:12" s="221" customFormat="1" ht="14.25" customHeight="1" x14ac:dyDescent="0.2">
      <c r="A75" s="676">
        <v>1</v>
      </c>
      <c r="B75" s="688" t="s">
        <v>261</v>
      </c>
      <c r="C75" s="686" t="str">
        <f>CHOOSE(VARIANT, "LM5143", "LM5143-Q1", "LM5143A-Q1","LM25143","LM25143-Q1")</f>
        <v>LM5143-Q1</v>
      </c>
      <c r="D75" s="680" t="str">
        <f>CHOOSE(VARIANT, "IC, LM5143, Buck PWM Controller, 3.5V–65V Input","IC, LM5143-Q1, Buck PWM Controller, 3.5V–65V Input","IC, LM5143A-Q1, Buck PWM Controller, 3.5V–65V Input","IC, LM25143, Buck PWM Controller, 3.5V–42V Input","IC, LM25143-Q1, Buck PWM Controller, 3.5V–42V Input")</f>
        <v>IC, LM5143-Q1, Buck PWM Controller, 3.5V–65V Input</v>
      </c>
      <c r="E75" s="681"/>
      <c r="F75" s="681"/>
      <c r="G75" s="682"/>
      <c r="H75" s="678" t="s">
        <v>757</v>
      </c>
      <c r="I75" s="678" t="str">
        <f>CHOOSE(VARIANT, "LM5143RHAR", "LM5143QRWGRQ1", "LM5143QRHARQ1", "LM25143RHAR", "LM25143QRHARQ1")</f>
        <v>LM5143QRWGRQ1</v>
      </c>
      <c r="J75" s="678" t="s">
        <v>247</v>
      </c>
      <c r="L75" s="222"/>
    </row>
    <row r="76" spans="1:12" x14ac:dyDescent="0.2">
      <c r="A76" s="677"/>
      <c r="B76" s="689"/>
      <c r="C76" s="687"/>
      <c r="D76" s="683"/>
      <c r="E76" s="684"/>
      <c r="F76" s="684"/>
      <c r="G76" s="685"/>
      <c r="H76" s="679"/>
      <c r="I76" s="679"/>
      <c r="J76" s="679"/>
    </row>
    <row r="78" spans="1:12" x14ac:dyDescent="0.2">
      <c r="A78" s="255" t="s">
        <v>269</v>
      </c>
    </row>
    <row r="79" spans="1:12" ht="17.100000000000001" customHeight="1" x14ac:dyDescent="0.2">
      <c r="A79" s="128" t="s">
        <v>606</v>
      </c>
      <c r="D79" s="553" t="s">
        <v>605</v>
      </c>
      <c r="E79" s="214" t="s">
        <v>607</v>
      </c>
    </row>
    <row r="80" spans="1:12" ht="17.100000000000001" customHeight="1" x14ac:dyDescent="0.2">
      <c r="A80" s="214" t="s">
        <v>464</v>
      </c>
    </row>
    <row r="81" spans="1:1" ht="17.100000000000001" customHeight="1" x14ac:dyDescent="0.2">
      <c r="A81" s="214" t="s">
        <v>461</v>
      </c>
    </row>
  </sheetData>
  <sheetProtection algorithmName="SHA-512" hashValue="noeROmgzs74+Ki+xq76TMsItNlfdGQzl7OsBLV4r541aV1xEIRFKWVAt0RfsYVUAI3hU+P78zAm5MGmv0EiM3w==" saltValue="4R3/p4V7jC78QHG7g2IlVw==" spinCount="100000" sheet="1" objects="1" scenarios="1" selectLockedCells="1" selectUnlockedCells="1"/>
  <mergeCells count="38">
    <mergeCell ref="D70:G70"/>
    <mergeCell ref="D49:F49"/>
    <mergeCell ref="D72:G72"/>
    <mergeCell ref="D73:G73"/>
    <mergeCell ref="D74:G74"/>
    <mergeCell ref="D57:F57"/>
    <mergeCell ref="D62:G62"/>
    <mergeCell ref="D53:F53"/>
    <mergeCell ref="D54:F54"/>
    <mergeCell ref="D56:F56"/>
    <mergeCell ref="D47:F47"/>
    <mergeCell ref="D48:F48"/>
    <mergeCell ref="D50:F50"/>
    <mergeCell ref="D55:F55"/>
    <mergeCell ref="D52:F52"/>
    <mergeCell ref="D44:G44"/>
    <mergeCell ref="D51:F51"/>
    <mergeCell ref="D71:G71"/>
    <mergeCell ref="D67:G67"/>
    <mergeCell ref="D68:G68"/>
    <mergeCell ref="D60:G60"/>
    <mergeCell ref="D61:G61"/>
    <mergeCell ref="D66:G66"/>
    <mergeCell ref="D64:G64"/>
    <mergeCell ref="D58:G58"/>
    <mergeCell ref="D59:G59"/>
    <mergeCell ref="D63:G63"/>
    <mergeCell ref="D65:G65"/>
    <mergeCell ref="D69:G69"/>
    <mergeCell ref="D45:F45"/>
    <mergeCell ref="D46:F46"/>
    <mergeCell ref="A75:A76"/>
    <mergeCell ref="J75:J76"/>
    <mergeCell ref="D75:G76"/>
    <mergeCell ref="C75:C76"/>
    <mergeCell ref="B75:B76"/>
    <mergeCell ref="H75:H76"/>
    <mergeCell ref="I75:I76"/>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5:H47 H56 H58 H71 H55 H62 H66:H68 H54 H51 H50 H72:H74 H64:H65" numberStoredAsText="1"/>
  </ignoredError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topLeftCell="A7" zoomScaleNormal="100" zoomScaleSheetLayoutView="80" workbookViewId="0">
      <selection activeCell="A2" sqref="A2"/>
    </sheetView>
  </sheetViews>
  <sheetFormatPr defaultColWidth="9.140625" defaultRowHeight="12.75" x14ac:dyDescent="0.2"/>
  <cols>
    <col min="1" max="13" width="9.140625" style="121"/>
    <col min="14" max="14" width="11.85546875" style="121" customWidth="1"/>
    <col min="15" max="16" width="9.140625" style="121"/>
    <col min="17" max="17" width="15.7109375" style="121" customWidth="1"/>
    <col min="18" max="16384" width="9.140625" style="121"/>
  </cols>
  <sheetData>
    <row r="1" spans="1:23" s="113" customFormat="1" ht="47.25" customHeight="1" x14ac:dyDescent="0.2">
      <c r="A1" s="727" t="s">
        <v>857</v>
      </c>
      <c r="B1" s="728"/>
      <c r="C1" s="728"/>
      <c r="D1" s="728"/>
      <c r="E1" s="728"/>
      <c r="F1" s="728"/>
      <c r="G1" s="728"/>
      <c r="H1" s="728"/>
      <c r="I1" s="728"/>
      <c r="J1" s="728"/>
      <c r="K1" s="728"/>
      <c r="L1" s="728"/>
      <c r="M1" s="728"/>
      <c r="N1" s="728"/>
      <c r="O1" s="728"/>
      <c r="P1" s="728"/>
      <c r="Q1" s="728"/>
    </row>
    <row r="6" spans="1:23" ht="20.25" x14ac:dyDescent="0.3">
      <c r="B6" s="122" t="s">
        <v>618</v>
      </c>
      <c r="M6" s="122"/>
      <c r="W6" s="122"/>
    </row>
  </sheetData>
  <sheetProtection algorithmName="SHA-512" hashValue="ME2Liox88eb1tlMmpYGEI0zgr4rj6az9EPWygQscUZuf8Jy4pmR0dor3AWEEhfdErV15IkKQScFM+imSN0HfQg==" saltValue="7qRta+P6OvzdH2eW5Q2trw==" spinCount="100000" sheet="1" objects="1" scenario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390"/>
  <sheetViews>
    <sheetView zoomScaleNormal="100" workbookViewId="0">
      <pane ySplit="5" topLeftCell="A15" activePane="bottomLeft" state="frozenSplit"/>
      <selection pane="bottomLeft" activeCell="A4" sqref="A4"/>
    </sheetView>
  </sheetViews>
  <sheetFormatPr defaultRowHeight="12.75" x14ac:dyDescent="0.2"/>
  <cols>
    <col min="1" max="1" width="35.7109375" customWidth="1"/>
    <col min="2" max="2" width="12" customWidth="1"/>
    <col min="3" max="3" width="12.140625" style="2" customWidth="1"/>
    <col min="4" max="4" width="13.42578125" customWidth="1"/>
    <col min="5" max="5" width="11.5703125" customWidth="1"/>
    <col min="6" max="6" width="12.42578125" bestFit="1" customWidth="1"/>
    <col min="7" max="7" width="17.42578125" customWidth="1"/>
    <col min="8" max="8" width="34.7109375" customWidth="1"/>
    <col min="9" max="9" width="11.7109375" customWidth="1"/>
    <col min="10" max="10" width="12.42578125" bestFit="1" customWidth="1"/>
    <col min="11" max="11" width="15.140625" customWidth="1"/>
    <col min="12" max="12" width="13.28515625" customWidth="1"/>
    <col min="14" max="14" width="8.7109375" customWidth="1"/>
    <col min="16" max="16" width="8.28515625" customWidth="1"/>
    <col min="23" max="23" width="11.5703125" bestFit="1" customWidth="1"/>
    <col min="24" max="24" width="12.5703125" customWidth="1"/>
    <col min="25" max="25" width="12.42578125" customWidth="1"/>
  </cols>
  <sheetData>
    <row r="1" spans="1:27" ht="30.75" customHeight="1" x14ac:dyDescent="0.4">
      <c r="A1" s="730" t="s">
        <v>393</v>
      </c>
      <c r="B1" s="730"/>
      <c r="C1" s="730"/>
      <c r="D1" s="730"/>
      <c r="E1" s="730"/>
      <c r="F1" s="730"/>
      <c r="G1" s="730"/>
      <c r="H1" s="730"/>
      <c r="I1" s="730"/>
    </row>
    <row r="2" spans="1:27" ht="12" customHeight="1" x14ac:dyDescent="0.2">
      <c r="A2" s="49"/>
      <c r="B2" s="49" t="s">
        <v>191</v>
      </c>
      <c r="C2" s="50"/>
      <c r="E2" s="49"/>
      <c r="F2" s="49"/>
      <c r="G2" s="49"/>
      <c r="H2" s="49"/>
      <c r="I2" s="49"/>
    </row>
    <row r="3" spans="1:27" ht="11.25" customHeight="1" x14ac:dyDescent="0.2">
      <c r="A3" s="49"/>
      <c r="B3" s="49" t="s">
        <v>223</v>
      </c>
      <c r="C3" s="51"/>
      <c r="E3" s="49"/>
      <c r="F3" s="49"/>
      <c r="G3" s="49"/>
      <c r="H3" s="49"/>
      <c r="I3" s="49"/>
    </row>
    <row r="4" spans="1:27" ht="11.25" customHeight="1" x14ac:dyDescent="0.2">
      <c r="A4" s="49"/>
      <c r="B4" s="49" t="s">
        <v>192</v>
      </c>
      <c r="C4" s="52"/>
      <c r="E4" s="49"/>
      <c r="F4" s="49"/>
      <c r="G4" s="49"/>
      <c r="H4" s="49"/>
      <c r="I4" s="49"/>
    </row>
    <row r="5" spans="1:27" x14ac:dyDescent="0.2">
      <c r="A5" s="2" t="s">
        <v>47</v>
      </c>
      <c r="B5" s="2" t="s">
        <v>7</v>
      </c>
      <c r="C5" s="2" t="s">
        <v>8</v>
      </c>
      <c r="E5" s="729" t="s">
        <v>12</v>
      </c>
      <c r="F5" s="729"/>
      <c r="G5" s="729"/>
      <c r="H5" s="729"/>
      <c r="I5" s="2" t="s">
        <v>414</v>
      </c>
    </row>
    <row r="6" spans="1:27" ht="16.5" thickBot="1" x14ac:dyDescent="0.3">
      <c r="A6" s="525" t="s">
        <v>148</v>
      </c>
      <c r="B6" s="2"/>
      <c r="D6" s="2"/>
      <c r="E6" s="49"/>
      <c r="F6" s="49"/>
      <c r="G6" s="49"/>
      <c r="H6" s="49"/>
      <c r="I6" s="2"/>
    </row>
    <row r="7" spans="1:27" x14ac:dyDescent="0.2">
      <c r="A7" s="211" t="s">
        <v>289</v>
      </c>
      <c r="B7" s="12">
        <f>'Design Regulator'!E7</f>
        <v>20</v>
      </c>
      <c r="C7" s="63" t="s">
        <v>0</v>
      </c>
      <c r="D7" s="117" t="s">
        <v>290</v>
      </c>
      <c r="E7" s="63"/>
      <c r="F7" s="63"/>
      <c r="G7" s="63"/>
      <c r="H7" s="63"/>
      <c r="I7" s="64">
        <v>1</v>
      </c>
    </row>
    <row r="8" spans="1:27" x14ac:dyDescent="0.2">
      <c r="A8" s="212" t="s">
        <v>625</v>
      </c>
      <c r="B8" s="29">
        <f>'Design Regulator'!E8</f>
        <v>21</v>
      </c>
      <c r="C8" t="s">
        <v>0</v>
      </c>
      <c r="D8" t="s">
        <v>13</v>
      </c>
      <c r="I8" s="57"/>
      <c r="K8" s="294" t="str">
        <f>CHOOSE(SCH_MODE, "Efficiency vs. IOUT (Ch1)", "Efficiency vs. IOUT - 2 Ph", "Efficiency vs. IOUT - 3 Ph", "Efficiency vs. IOUT - 4 Ph")</f>
        <v>Efficiency vs. IOUT (Ch1)</v>
      </c>
      <c r="L8" s="116">
        <v>1</v>
      </c>
      <c r="N8" s="294" t="s">
        <v>612</v>
      </c>
      <c r="O8" s="116">
        <v>1</v>
      </c>
      <c r="T8" s="294" t="s">
        <v>780</v>
      </c>
      <c r="U8" s="116">
        <v>1</v>
      </c>
      <c r="W8" s="294" t="s">
        <v>677</v>
      </c>
      <c r="X8" s="116">
        <v>1</v>
      </c>
      <c r="Z8" s="294" t="str">
        <f>CHOOSE(SCH_MODE, "Bode Plot (Ch1)", "Bode Plot - 2 Ph", "Bode Plot - 3 Ph", "Bode Plot - 4 Ph")</f>
        <v>Bode Plot (Ch1)</v>
      </c>
      <c r="AA8" s="116">
        <v>1</v>
      </c>
    </row>
    <row r="9" spans="1:27" x14ac:dyDescent="0.2">
      <c r="A9" s="212" t="s">
        <v>288</v>
      </c>
      <c r="B9" s="29">
        <f>'Design Regulator'!E9</f>
        <v>26</v>
      </c>
      <c r="C9" t="s">
        <v>0</v>
      </c>
      <c r="D9" s="114" t="s">
        <v>291</v>
      </c>
      <c r="I9" s="57"/>
      <c r="K9" s="294" t="str">
        <f>IF(MODE=1, "Efficiency vs. IOUT (Ch2)", "N/A - Do Not Use")</f>
        <v>Efficiency vs. IOUT (Ch2)</v>
      </c>
      <c r="L9" s="116">
        <v>2</v>
      </c>
      <c r="N9" s="294" t="s">
        <v>611</v>
      </c>
      <c r="O9" s="116">
        <v>2</v>
      </c>
      <c r="T9" s="294" t="s">
        <v>781</v>
      </c>
      <c r="U9" s="116">
        <v>2</v>
      </c>
      <c r="W9" s="294" t="s">
        <v>678</v>
      </c>
      <c r="X9" s="116">
        <v>2</v>
      </c>
      <c r="Z9" s="294" t="str">
        <f>IF(MODE=1, "Bode Plot (Ch2)", "N/A - Do Not Use")</f>
        <v>Bode Plot (Ch2)</v>
      </c>
      <c r="AA9" s="116">
        <v>2</v>
      </c>
    </row>
    <row r="10" spans="1:27" x14ac:dyDescent="0.2">
      <c r="A10" s="212"/>
      <c r="B10" s="4"/>
      <c r="C10"/>
      <c r="D10" s="114"/>
      <c r="I10" s="57"/>
      <c r="K10" s="535" t="s">
        <v>586</v>
      </c>
      <c r="L10" s="536">
        <v>1</v>
      </c>
      <c r="N10" s="535" t="s">
        <v>609</v>
      </c>
      <c r="O10" s="536">
        <v>2</v>
      </c>
      <c r="P10" s="114" t="s">
        <v>610</v>
      </c>
      <c r="T10" s="294" t="s">
        <v>782</v>
      </c>
      <c r="U10" s="116">
        <v>3</v>
      </c>
      <c r="W10" s="535" t="s">
        <v>679</v>
      </c>
      <c r="X10" s="536">
        <v>2</v>
      </c>
      <c r="Z10" s="535" t="s">
        <v>784</v>
      </c>
      <c r="AA10" s="536">
        <v>1</v>
      </c>
    </row>
    <row r="11" spans="1:27" x14ac:dyDescent="0.2">
      <c r="A11" s="56" t="s">
        <v>4</v>
      </c>
      <c r="B11" s="29">
        <f>'Design Regulator'!E10</f>
        <v>3.3</v>
      </c>
      <c r="C11" t="s">
        <v>0</v>
      </c>
      <c r="D11" s="114" t="s">
        <v>639</v>
      </c>
      <c r="I11" s="57"/>
      <c r="T11" s="294" t="s">
        <v>783</v>
      </c>
      <c r="U11" s="116">
        <v>4</v>
      </c>
      <c r="V11" s="114"/>
    </row>
    <row r="12" spans="1:27" x14ac:dyDescent="0.2">
      <c r="A12" s="56" t="s">
        <v>5</v>
      </c>
      <c r="B12" s="29">
        <f>'Design Regulator'!E11</f>
        <v>4</v>
      </c>
      <c r="C12" t="s">
        <v>1</v>
      </c>
      <c r="D12" s="114" t="s">
        <v>640</v>
      </c>
      <c r="I12" s="57">
        <v>1</v>
      </c>
      <c r="T12" s="535" t="s">
        <v>631</v>
      </c>
      <c r="U12" s="536">
        <v>1</v>
      </c>
      <c r="V12" s="114"/>
    </row>
    <row r="13" spans="1:27" x14ac:dyDescent="0.2">
      <c r="A13" s="212" t="s">
        <v>626</v>
      </c>
      <c r="B13" s="29">
        <f>'Design Regulator'!J10</f>
        <v>5</v>
      </c>
      <c r="C13" t="s">
        <v>0</v>
      </c>
      <c r="D13" s="114" t="s">
        <v>642</v>
      </c>
      <c r="I13" s="57">
        <v>1</v>
      </c>
      <c r="K13" s="294" t="s">
        <v>712</v>
      </c>
      <c r="L13" s="116">
        <v>1</v>
      </c>
      <c r="N13" s="294" t="s">
        <v>712</v>
      </c>
      <c r="O13" s="116">
        <v>1</v>
      </c>
      <c r="T13" s="598" t="s">
        <v>797</v>
      </c>
      <c r="U13" s="594">
        <f>IF(U12=1, 1, 2)</f>
        <v>1</v>
      </c>
      <c r="V13" s="114"/>
      <c r="W13" s="294" t="s">
        <v>808</v>
      </c>
      <c r="X13" s="116">
        <v>1</v>
      </c>
    </row>
    <row r="14" spans="1:27" x14ac:dyDescent="0.2">
      <c r="A14" s="212" t="s">
        <v>627</v>
      </c>
      <c r="B14" s="29">
        <f>'Design Regulator'!J11</f>
        <v>8</v>
      </c>
      <c r="C14" t="s">
        <v>1</v>
      </c>
      <c r="D14" s="114" t="s">
        <v>641</v>
      </c>
      <c r="I14" s="57"/>
      <c r="K14" s="294" t="s">
        <v>713</v>
      </c>
      <c r="L14" s="116">
        <v>2</v>
      </c>
      <c r="N14" s="294" t="s">
        <v>713</v>
      </c>
      <c r="O14" s="116">
        <v>2</v>
      </c>
      <c r="T14" s="296" t="s">
        <v>796</v>
      </c>
      <c r="U14" s="599">
        <f>IF(U12=1, 2, 1)</f>
        <v>2</v>
      </c>
      <c r="W14" s="294" t="s">
        <v>809</v>
      </c>
      <c r="X14" s="116">
        <v>2</v>
      </c>
    </row>
    <row r="15" spans="1:27" x14ac:dyDescent="0.2">
      <c r="A15" s="212"/>
      <c r="C15"/>
      <c r="D15" s="114"/>
      <c r="I15" s="57"/>
      <c r="K15" s="294" t="s">
        <v>714</v>
      </c>
      <c r="L15" s="116">
        <v>3</v>
      </c>
      <c r="N15" s="294" t="s">
        <v>714</v>
      </c>
      <c r="O15" s="116">
        <v>3</v>
      </c>
      <c r="T15" s="296" t="s">
        <v>795</v>
      </c>
      <c r="U15" s="299">
        <f>SCH_MODE</f>
        <v>1</v>
      </c>
      <c r="W15" s="535" t="s">
        <v>810</v>
      </c>
      <c r="X15" s="536">
        <v>1</v>
      </c>
      <c r="Z15" s="294" t="s">
        <v>858</v>
      </c>
      <c r="AA15" s="116">
        <v>1</v>
      </c>
    </row>
    <row r="16" spans="1:27" x14ac:dyDescent="0.2">
      <c r="A16" s="212" t="s">
        <v>326</v>
      </c>
      <c r="B16" s="520">
        <f>Vout/Iout</f>
        <v>0.82499999999999996</v>
      </c>
      <c r="C16" s="213" t="s">
        <v>116</v>
      </c>
      <c r="D16" s="114" t="s">
        <v>629</v>
      </c>
      <c r="I16" s="57"/>
      <c r="K16" s="535" t="s">
        <v>715</v>
      </c>
      <c r="L16" s="536">
        <f>IF(Vout=3.3, 1, IF(Vout=5, 2, 3))</f>
        <v>1</v>
      </c>
      <c r="N16" s="535" t="s">
        <v>716</v>
      </c>
      <c r="O16" s="536">
        <f>IF(Vout2=3.3, 1, IF(Vout2=5, 2, 3))</f>
        <v>2</v>
      </c>
      <c r="Z16" s="294" t="s">
        <v>859</v>
      </c>
      <c r="AA16" s="116">
        <v>2</v>
      </c>
    </row>
    <row r="17" spans="1:27" x14ac:dyDescent="0.2">
      <c r="A17" s="212" t="s">
        <v>628</v>
      </c>
      <c r="B17" s="520">
        <f>Vout2/Iout2</f>
        <v>0.625</v>
      </c>
      <c r="C17" s="213" t="s">
        <v>116</v>
      </c>
      <c r="D17" s="114"/>
      <c r="I17" s="57"/>
      <c r="Z17" s="535" t="s">
        <v>860</v>
      </c>
      <c r="AA17" s="536">
        <v>1</v>
      </c>
    </row>
    <row r="18" spans="1:27" x14ac:dyDescent="0.2">
      <c r="A18" s="212" t="s">
        <v>295</v>
      </c>
      <c r="B18" s="293">
        <f>CHOOSE(MODE, Vout*Iout+Vout2*Iout2, Vout*Iout)</f>
        <v>53.2</v>
      </c>
      <c r="C18" t="s">
        <v>116</v>
      </c>
      <c r="D18" s="114" t="s">
        <v>311</v>
      </c>
      <c r="I18" s="57"/>
      <c r="Y18" s="2"/>
    </row>
    <row r="19" spans="1:27" x14ac:dyDescent="0.2">
      <c r="A19" s="212"/>
      <c r="C19"/>
      <c r="D19" s="114"/>
      <c r="I19" s="57"/>
      <c r="Y19" s="2"/>
      <c r="AA19" s="116">
        <f>SENSING_TYPE</f>
        <v>1</v>
      </c>
    </row>
    <row r="20" spans="1:27" x14ac:dyDescent="0.2">
      <c r="A20" s="212" t="s">
        <v>127</v>
      </c>
      <c r="B20" s="408">
        <v>0.9</v>
      </c>
      <c r="C20"/>
      <c r="D20" s="114" t="s">
        <v>427</v>
      </c>
      <c r="I20" s="57"/>
      <c r="X20" s="294" t="s">
        <v>853</v>
      </c>
      <c r="Y20" s="299">
        <v>1</v>
      </c>
    </row>
    <row r="21" spans="1:27" x14ac:dyDescent="0.2">
      <c r="A21" s="212" t="s">
        <v>299</v>
      </c>
      <c r="B21" s="312">
        <f>Pout/Efficiency</f>
        <v>59.111111111111114</v>
      </c>
      <c r="C21" t="s">
        <v>116</v>
      </c>
      <c r="D21" s="114" t="s">
        <v>630</v>
      </c>
      <c r="I21" s="57"/>
      <c r="L21">
        <f>Vout</f>
        <v>3.3</v>
      </c>
      <c r="X21" s="294" t="s">
        <v>756</v>
      </c>
      <c r="Y21" s="299">
        <v>2</v>
      </c>
    </row>
    <row r="22" spans="1:27" x14ac:dyDescent="0.2">
      <c r="A22" s="212"/>
      <c r="B22" s="48"/>
      <c r="C22"/>
      <c r="D22" s="114"/>
      <c r="I22" s="57"/>
      <c r="X22" s="294" t="s">
        <v>861</v>
      </c>
      <c r="Y22" s="299">
        <v>3</v>
      </c>
      <c r="Z22" s="114"/>
    </row>
    <row r="23" spans="1:27" x14ac:dyDescent="0.2">
      <c r="A23" s="212" t="s">
        <v>296</v>
      </c>
      <c r="B23" s="305">
        <f>Pin/VIN_min</f>
        <v>2.9555555555555557</v>
      </c>
      <c r="C23" t="s">
        <v>1</v>
      </c>
      <c r="D23" s="114"/>
      <c r="I23" s="57"/>
      <c r="X23" s="294" t="s">
        <v>855</v>
      </c>
      <c r="Y23" s="299">
        <v>4</v>
      </c>
    </row>
    <row r="24" spans="1:27" x14ac:dyDescent="0.2">
      <c r="A24" s="212" t="s">
        <v>297</v>
      </c>
      <c r="B24" s="305">
        <f>Pin/VIN_nom</f>
        <v>2.8148148148148149</v>
      </c>
      <c r="C24" t="s">
        <v>1</v>
      </c>
      <c r="D24" s="114" t="s">
        <v>312</v>
      </c>
      <c r="I24" s="57"/>
      <c r="X24" s="294" t="s">
        <v>854</v>
      </c>
      <c r="Y24" s="299">
        <v>5</v>
      </c>
    </row>
    <row r="25" spans="1:27" x14ac:dyDescent="0.2">
      <c r="A25" s="212" t="s">
        <v>298</v>
      </c>
      <c r="B25" s="305">
        <f>Pin/VIN_max</f>
        <v>2.2735042735042734</v>
      </c>
      <c r="C25" t="s">
        <v>1</v>
      </c>
      <c r="D25" s="114"/>
      <c r="I25" s="57"/>
      <c r="W25" s="536" t="s">
        <v>851</v>
      </c>
      <c r="X25" s="296" t="str">
        <f>CHOOSE(VARIANT, "LM5143", "LM5143-Q1", "LM5143A-Q1", "LM25143", "LM25143-Q1")</f>
        <v>LM5143-Q1</v>
      </c>
      <c r="Y25" s="536">
        <v>2</v>
      </c>
    </row>
    <row r="26" spans="1:27" x14ac:dyDescent="0.2">
      <c r="A26" s="212"/>
      <c r="C26"/>
      <c r="D26" s="114"/>
      <c r="I26" s="57"/>
      <c r="W26" s="536" t="s">
        <v>852</v>
      </c>
      <c r="X26" s="296">
        <f>CHOOSE(VARIANT, 65, 65, 65, 42, 42)</f>
        <v>65</v>
      </c>
      <c r="Y26" t="s">
        <v>0</v>
      </c>
    </row>
    <row r="27" spans="1:27" x14ac:dyDescent="0.2">
      <c r="A27" s="58" t="s">
        <v>6</v>
      </c>
      <c r="B27" s="256">
        <f>'Design Regulator'!E12*1000</f>
        <v>2100000</v>
      </c>
      <c r="C27" s="114" t="s">
        <v>9</v>
      </c>
      <c r="D27" s="114" t="s">
        <v>646</v>
      </c>
      <c r="I27" s="57"/>
      <c r="W27" s="114" t="s">
        <v>856</v>
      </c>
      <c r="X27" s="294">
        <f>CHOOSE(VARIANT, 55, 55, 55, 36, 36)</f>
        <v>55</v>
      </c>
      <c r="Y27" s="114" t="s">
        <v>0</v>
      </c>
    </row>
    <row r="28" spans="1:27" x14ac:dyDescent="0.2">
      <c r="A28" s="212" t="s">
        <v>827</v>
      </c>
      <c r="B28" s="528">
        <f>1/Fsw</f>
        <v>4.7619047619047617E-7</v>
      </c>
      <c r="C28" s="114" t="s">
        <v>549</v>
      </c>
      <c r="D28" s="114" t="s">
        <v>643</v>
      </c>
      <c r="I28" s="57">
        <v>1</v>
      </c>
    </row>
    <row r="29" spans="1:27" x14ac:dyDescent="0.2">
      <c r="A29" s="58" t="s">
        <v>41</v>
      </c>
      <c r="B29" s="59">
        <v>0.6</v>
      </c>
      <c r="C29" t="s">
        <v>0</v>
      </c>
      <c r="D29" s="114" t="s">
        <v>644</v>
      </c>
      <c r="I29" s="57"/>
    </row>
    <row r="30" spans="1:27" x14ac:dyDescent="0.2">
      <c r="A30" s="212" t="s">
        <v>280</v>
      </c>
      <c r="B30" s="306">
        <f>22*1000/(Fsw/1000000)</f>
        <v>10476.190476190475</v>
      </c>
      <c r="C30" s="213" t="s">
        <v>116</v>
      </c>
      <c r="D30" s="114" t="s">
        <v>645</v>
      </c>
      <c r="I30" s="57"/>
    </row>
    <row r="31" spans="1:27" ht="13.5" thickBot="1" x14ac:dyDescent="0.25">
      <c r="A31" s="384"/>
      <c r="B31" s="384"/>
      <c r="C31" s="576"/>
      <c r="D31" s="384"/>
      <c r="E31" s="384"/>
      <c r="F31" s="384"/>
      <c r="G31" s="384"/>
      <c r="H31" s="384"/>
      <c r="I31" s="577"/>
    </row>
    <row r="33" spans="1:9" ht="16.5" thickBot="1" x14ac:dyDescent="0.3">
      <c r="A33" s="525" t="s">
        <v>721</v>
      </c>
      <c r="B33" s="2" t="s">
        <v>649</v>
      </c>
      <c r="D33" s="2" t="s">
        <v>650</v>
      </c>
    </row>
    <row r="34" spans="1:9" x14ac:dyDescent="0.2">
      <c r="A34" s="211" t="s">
        <v>14</v>
      </c>
      <c r="B34" s="289">
        <f>Vout/VIN_nom</f>
        <v>0.15714285714285714</v>
      </c>
      <c r="C34" s="579"/>
      <c r="D34" s="292"/>
      <c r="E34" s="292"/>
      <c r="F34" s="117" t="s">
        <v>293</v>
      </c>
      <c r="G34" s="63"/>
      <c r="H34" s="63"/>
      <c r="I34" s="64"/>
    </row>
    <row r="35" spans="1:9" x14ac:dyDescent="0.2">
      <c r="A35" s="212" t="s">
        <v>15</v>
      </c>
      <c r="B35" s="290">
        <f>1-34:34</f>
        <v>0.84285714285714286</v>
      </c>
      <c r="C35"/>
      <c r="F35" s="114" t="s">
        <v>294</v>
      </c>
      <c r="I35" s="57"/>
    </row>
    <row r="36" spans="1:9" x14ac:dyDescent="0.2">
      <c r="A36" s="114"/>
      <c r="C36"/>
      <c r="E36" s="114"/>
      <c r="I36" s="57"/>
    </row>
    <row r="37" spans="1:9" x14ac:dyDescent="0.2">
      <c r="A37" s="212" t="s">
        <v>723</v>
      </c>
      <c r="B37" s="300">
        <f>Vout/VIN_min</f>
        <v>0.16499999999999998</v>
      </c>
      <c r="C37"/>
      <c r="D37" s="300">
        <f>Vout2/VIN_min</f>
        <v>0.25</v>
      </c>
      <c r="E37" s="114"/>
      <c r="I37" s="57"/>
    </row>
    <row r="38" spans="1:9" x14ac:dyDescent="0.2">
      <c r="A38" s="212" t="s">
        <v>724</v>
      </c>
      <c r="B38" s="300">
        <f>Vout/VIN_nom</f>
        <v>0.15714285714285714</v>
      </c>
      <c r="C38"/>
      <c r="D38" s="300">
        <f>Vout2/VIN_nom</f>
        <v>0.23809523809523808</v>
      </c>
      <c r="I38" s="57"/>
    </row>
    <row r="39" spans="1:9" x14ac:dyDescent="0.2">
      <c r="A39" s="212" t="s">
        <v>725</v>
      </c>
      <c r="B39" s="300">
        <f>Vout/VIN_max</f>
        <v>0.12692307692307692</v>
      </c>
      <c r="C39"/>
      <c r="D39" s="300">
        <f>Vout2/VIN_max</f>
        <v>0.19230769230769232</v>
      </c>
      <c r="E39" s="114"/>
      <c r="I39" s="57"/>
    </row>
    <row r="40" spans="1:9" x14ac:dyDescent="0.2">
      <c r="A40" s="114"/>
      <c r="B40" s="559"/>
      <c r="C40" s="114"/>
      <c r="E40" s="114"/>
      <c r="I40" s="57"/>
    </row>
    <row r="41" spans="1:9" x14ac:dyDescent="0.2">
      <c r="A41" s="114" t="s">
        <v>303</v>
      </c>
      <c r="B41" s="291">
        <f>(VIN_nom-Vout)*D1_Vinnom/(Fsw*(Iout/Number_of_Phases)*0.35)</f>
        <v>9.4606413994169086E-7</v>
      </c>
      <c r="C41" t="s">
        <v>19</v>
      </c>
      <c r="D41" s="291">
        <f>(VIN_nom-Vout2)*D2_Vinnom/(Fsw*Iout2*0.35)</f>
        <v>6.4787819889860707E-7</v>
      </c>
      <c r="E41" t="s">
        <v>19</v>
      </c>
      <c r="F41" s="114" t="s">
        <v>651</v>
      </c>
      <c r="I41" s="57"/>
    </row>
    <row r="42" spans="1:9" x14ac:dyDescent="0.2">
      <c r="A42" s="114" t="s">
        <v>647</v>
      </c>
      <c r="B42" s="291">
        <f>1000*Vout*Rs/24/Fsw</f>
        <v>6.5476190476190481E-7</v>
      </c>
      <c r="C42" t="s">
        <v>19</v>
      </c>
      <c r="D42" s="291">
        <f>1000*Vout2*Rs_Ch2/24/Fsw</f>
        <v>9.9206349206349223E-7</v>
      </c>
      <c r="E42" t="s">
        <v>19</v>
      </c>
      <c r="F42" s="114" t="s">
        <v>722</v>
      </c>
      <c r="I42" s="57"/>
    </row>
    <row r="43" spans="1:9" x14ac:dyDescent="0.2">
      <c r="A43" s="114"/>
      <c r="C43" s="114"/>
      <c r="E43" s="114"/>
      <c r="I43" s="57"/>
    </row>
    <row r="44" spans="1:9" x14ac:dyDescent="0.2">
      <c r="A44" s="212" t="s">
        <v>304</v>
      </c>
      <c r="B44" s="291">
        <f>B42</f>
        <v>6.5476190476190481E-7</v>
      </c>
      <c r="C44" t="s">
        <v>19</v>
      </c>
      <c r="D44" s="532">
        <f>D42</f>
        <v>9.9206349206349223E-7</v>
      </c>
      <c r="E44" s="114" t="s">
        <v>19</v>
      </c>
      <c r="F44" s="114" t="s">
        <v>550</v>
      </c>
      <c r="I44" s="57"/>
    </row>
    <row r="45" spans="1:9" x14ac:dyDescent="0.2">
      <c r="A45" s="212"/>
      <c r="C45"/>
      <c r="E45" s="114"/>
      <c r="I45" s="57"/>
    </row>
    <row r="46" spans="1:9" x14ac:dyDescent="0.2">
      <c r="A46" s="212" t="s">
        <v>669</v>
      </c>
      <c r="B46" s="72">
        <f>'Design Regulator'!E28/1000000</f>
        <v>6.8000000000000005E-7</v>
      </c>
      <c r="C46" t="s">
        <v>19</v>
      </c>
      <c r="D46" s="72">
        <f>'Design Regulator'!J28/1000000</f>
        <v>9.9999999999999995E-7</v>
      </c>
      <c r="E46" t="s">
        <v>19</v>
      </c>
      <c r="F46" s="114" t="s">
        <v>551</v>
      </c>
      <c r="I46" s="57"/>
    </row>
    <row r="47" spans="1:9" x14ac:dyDescent="0.2">
      <c r="A47" s="212" t="s">
        <v>11</v>
      </c>
      <c r="B47" s="29">
        <f>'Design Regulator'!E29/1000</f>
        <v>5.0000000000000001E-3</v>
      </c>
      <c r="C47" s="213" t="s">
        <v>116</v>
      </c>
      <c r="D47" s="29">
        <f>'Design Regulator'!J29/1000</f>
        <v>8.9999999999999993E-3</v>
      </c>
      <c r="E47" s="213" t="s">
        <v>116</v>
      </c>
      <c r="F47" s="114" t="s">
        <v>552</v>
      </c>
      <c r="I47" s="57"/>
    </row>
    <row r="48" spans="1:9" x14ac:dyDescent="0.2">
      <c r="A48" s="212"/>
      <c r="B48" s="114"/>
      <c r="C48" s="114"/>
      <c r="D48" s="114"/>
      <c r="E48" s="114"/>
      <c r="I48" s="57"/>
    </row>
    <row r="49" spans="1:9" x14ac:dyDescent="0.2">
      <c r="A49" s="212" t="s">
        <v>16</v>
      </c>
      <c r="B49" s="300">
        <f>(Vout+Iout*(Rdcr+Rs))/(Vin+Iout*Rs)</f>
        <v>0.1596958174904943</v>
      </c>
      <c r="C49"/>
      <c r="I49" s="57"/>
    </row>
    <row r="50" spans="1:9" x14ac:dyDescent="0.2">
      <c r="A50" s="212" t="s">
        <v>17</v>
      </c>
      <c r="B50" s="300">
        <f>1-_Don2</f>
        <v>0.84030418250950567</v>
      </c>
      <c r="C50"/>
      <c r="I50" s="57"/>
    </row>
    <row r="51" spans="1:9" x14ac:dyDescent="0.2">
      <c r="A51" s="212"/>
      <c r="C51"/>
      <c r="I51" s="57"/>
    </row>
    <row r="52" spans="1:9" x14ac:dyDescent="0.2">
      <c r="A52" s="212" t="s">
        <v>726</v>
      </c>
      <c r="B52" s="300">
        <f>CHOOSE(MODE, (Vout+Iout*(Rdcr+Rs))/(VIN_min+Iout*Rs), (Vout+Iout/Number_of_Phases*(Rdcr+Rs))/(VIN_min+Iout/Number_of_Phases*Rs))</f>
        <v>0.16766467065868262</v>
      </c>
      <c r="C52"/>
      <c r="D52" s="300">
        <f>(Vout2+Iout2*(Rdcr2+Rs_Ch2))/(VIN_min+Iout2*Rs_Ch2)</f>
        <v>0.25657370517928291</v>
      </c>
      <c r="F52" s="114" t="s">
        <v>652</v>
      </c>
      <c r="I52" s="57"/>
    </row>
    <row r="53" spans="1:9" ht="15.75" x14ac:dyDescent="0.3">
      <c r="A53" s="212" t="s">
        <v>727</v>
      </c>
      <c r="B53" s="300">
        <f>CHOOSE(MODE, (Vout+Iout*(Rdcr+Rs))/(VIN_nom+Iout*Rs), (Vout+Iout/Number_of_Phases*(Rdcr+Rs))/(VIN_nom+Iout/Number_of_Phases*Rs))</f>
        <v>0.1596958174904943</v>
      </c>
      <c r="C53"/>
      <c r="D53" s="300">
        <f>(Vout2+Iout2*(Rdcr2+Rs_Ch2))/(VIN_nom+Iout2*Rs_Ch2)</f>
        <v>0.24440227703984824</v>
      </c>
      <c r="F53" s="379" t="s">
        <v>428</v>
      </c>
      <c r="I53" s="57"/>
    </row>
    <row r="54" spans="1:9" x14ac:dyDescent="0.2">
      <c r="A54" s="212" t="s">
        <v>728</v>
      </c>
      <c r="B54" s="300">
        <f>CHOOSE(MODE, (Vout+Iout*(Rdcr+Rs))/(VIN_max+Iout*Rs), (Vout+Iout/Number_of_Phases*(Rdcr+Rs))/(VIN_max+Iout/Number_of_Phases*Rs))</f>
        <v>0.12903225806451613</v>
      </c>
      <c r="C54"/>
      <c r="D54" s="300">
        <f>(Vout2+Iout2*(Rdcr2+Rs_Ch2))/(VIN_max+Iout2*Rs_Ch2)</f>
        <v>0.19754601226993868</v>
      </c>
      <c r="I54" s="57"/>
    </row>
    <row r="55" spans="1:9" x14ac:dyDescent="0.2">
      <c r="A55" s="212"/>
      <c r="C55"/>
      <c r="I55" s="57"/>
    </row>
    <row r="56" spans="1:9" x14ac:dyDescent="0.2">
      <c r="A56" s="212" t="s">
        <v>300</v>
      </c>
      <c r="B56" s="521">
        <f>MAX(0, (VIN_min-Vout)*D1_Vinmin_2/(Fsw*Lf))</f>
        <v>1.9607843137254899</v>
      </c>
      <c r="C56" s="114" t="s">
        <v>1</v>
      </c>
      <c r="D56" s="521">
        <f>MAX(0.1, (VIN_min-Vout2)*D2_Vinmin_2/(Fsw*Lo_2))</f>
        <v>1.8326693227091635</v>
      </c>
      <c r="E56" s="114" t="s">
        <v>1</v>
      </c>
      <c r="G56" s="30"/>
      <c r="I56" s="57"/>
    </row>
    <row r="57" spans="1:9" x14ac:dyDescent="0.2">
      <c r="A57" s="212" t="s">
        <v>301</v>
      </c>
      <c r="B57" s="521">
        <f>MAX(0, (VIN_nom-Vout)*D1_Vinnom_2/(Fsw*Lf))</f>
        <v>1.9794229478863785</v>
      </c>
      <c r="C57" s="114" t="s">
        <v>1</v>
      </c>
      <c r="D57" s="521">
        <f>MAX(0, (VIN_nom-Vout2)*D2_Vinnom_2/(Fsw*Lo_2))</f>
        <v>1.8621125869702722</v>
      </c>
      <c r="E57" s="114" t="s">
        <v>1</v>
      </c>
      <c r="I57" s="57"/>
    </row>
    <row r="58" spans="1:9" x14ac:dyDescent="0.2">
      <c r="A58" s="212" t="s">
        <v>302</v>
      </c>
      <c r="B58" s="521">
        <f>MAX(0, (VIN_max-Vout)*D1_Vinmax_2/(Fsw*Lf))</f>
        <v>2.0511430378603048</v>
      </c>
      <c r="C58" s="114" t="s">
        <v>1</v>
      </c>
      <c r="D58" s="521">
        <f>MAX(0, (VIN_max-Vout2)*D2_Vinmax_2/(Fsw*Lo_2))</f>
        <v>1.9754601226993866</v>
      </c>
      <c r="E58" s="114" t="s">
        <v>1</v>
      </c>
      <c r="I58" s="57"/>
    </row>
    <row r="59" spans="1:9" x14ac:dyDescent="0.2">
      <c r="A59" s="212"/>
      <c r="B59" s="578"/>
      <c r="D59" s="480"/>
      <c r="E59" s="114"/>
      <c r="I59" s="57"/>
    </row>
    <row r="60" spans="1:9" x14ac:dyDescent="0.2">
      <c r="A60" s="212" t="s">
        <v>567</v>
      </c>
      <c r="B60" s="580">
        <f>SQRT((Iout/Number_of_Phases)^2+(Iripple_Vinmin^2)/12)</f>
        <v>4.0398501944683538</v>
      </c>
      <c r="C60" s="114" t="s">
        <v>1</v>
      </c>
      <c r="D60" s="305">
        <f>SQRT(Iout2^2+(Iripple2_Vinmin^2)/12)</f>
        <v>8.0174740247287328</v>
      </c>
      <c r="E60" s="114" t="s">
        <v>1</v>
      </c>
      <c r="F60" s="360"/>
      <c r="I60" s="57"/>
    </row>
    <row r="61" spans="1:9" x14ac:dyDescent="0.2">
      <c r="A61" s="212" t="s">
        <v>568</v>
      </c>
      <c r="B61" s="580">
        <f>SQRT((Iout/Number_of_Phases)^2+(Iripple_Vinnom^2)/12)</f>
        <v>4.0406075781436135</v>
      </c>
      <c r="C61" s="114" t="s">
        <v>1</v>
      </c>
      <c r="D61" s="305">
        <f>SQRT(Iout2^2+(Iripple2_Vinnom^2)/12)</f>
        <v>8.018039365947228</v>
      </c>
      <c r="E61" s="114" t="s">
        <v>1</v>
      </c>
      <c r="F61" s="360"/>
      <c r="I61" s="57"/>
    </row>
    <row r="62" spans="1:9" x14ac:dyDescent="0.2">
      <c r="A62" s="212" t="s">
        <v>569</v>
      </c>
      <c r="B62" s="580">
        <f>SQRT((Iout/Number_of_Phases)^2+(Iripple_Vinmax^2)/12)</f>
        <v>4.0435873899480521</v>
      </c>
      <c r="C62" s="114" t="s">
        <v>1</v>
      </c>
      <c r="D62" s="305">
        <f>SQRT(Iout2^2+(Iripple2_Vinmax^2)/12)</f>
        <v>8.02029946810163</v>
      </c>
      <c r="E62" s="114" t="s">
        <v>1</v>
      </c>
      <c r="F62" s="360"/>
      <c r="I62" s="57"/>
    </row>
    <row r="63" spans="1:9" x14ac:dyDescent="0.2">
      <c r="A63" s="212" t="s">
        <v>570</v>
      </c>
      <c r="B63" s="581">
        <f>B61^2*Rs</f>
        <v>0.163265096005516</v>
      </c>
      <c r="C63" s="114" t="s">
        <v>116</v>
      </c>
      <c r="D63" s="581">
        <f>D61^2*Rs</f>
        <v>0.64288955273879422</v>
      </c>
      <c r="E63" s="114" t="s">
        <v>116</v>
      </c>
      <c r="F63" s="395" t="s">
        <v>670</v>
      </c>
      <c r="I63" s="57"/>
    </row>
    <row r="64" spans="1:9" x14ac:dyDescent="0.2">
      <c r="A64" s="212"/>
      <c r="B64" s="114"/>
      <c r="C64" s="114"/>
      <c r="D64" s="114"/>
      <c r="I64" s="57"/>
    </row>
    <row r="65" spans="1:16" x14ac:dyDescent="0.2">
      <c r="A65" s="212" t="s">
        <v>310</v>
      </c>
      <c r="B65" s="301">
        <f>MAX(B56:B58)</f>
        <v>2.0511430378603048</v>
      </c>
      <c r="C65" s="395" t="s">
        <v>1</v>
      </c>
      <c r="D65" s="301">
        <f t="shared" ref="D65" si="0">MAX(D56:D58)</f>
        <v>1.9754601226993866</v>
      </c>
      <c r="E65" s="114" t="s">
        <v>1</v>
      </c>
      <c r="F65" s="114" t="s">
        <v>671</v>
      </c>
      <c r="I65" s="57"/>
    </row>
    <row r="66" spans="1:16" x14ac:dyDescent="0.2">
      <c r="A66" s="212"/>
      <c r="B66" s="114"/>
      <c r="C66" s="114"/>
      <c r="D66" s="114"/>
      <c r="F66" s="114"/>
      <c r="G66" s="294"/>
      <c r="I66" s="57"/>
    </row>
    <row r="67" spans="1:16" x14ac:dyDescent="0.2">
      <c r="B67" s="409">
        <f>B56/(Iout/Number_of_Phases)</f>
        <v>0.49019607843137247</v>
      </c>
      <c r="C67" s="583"/>
      <c r="D67" s="409">
        <f>D56/Iout2</f>
        <v>0.22908366533864544</v>
      </c>
      <c r="F67" s="4"/>
      <c r="G67" s="410"/>
      <c r="I67" s="57"/>
    </row>
    <row r="68" spans="1:16" x14ac:dyDescent="0.2">
      <c r="A68" s="212" t="s">
        <v>775</v>
      </c>
      <c r="B68" s="409">
        <f>B57/(Iout/Number_of_Phases)</f>
        <v>0.49485573697159463</v>
      </c>
      <c r="C68"/>
      <c r="D68" s="409">
        <f>D57/Iout2</f>
        <v>0.23276407337128402</v>
      </c>
      <c r="F68" s="4"/>
      <c r="G68" s="410"/>
      <c r="I68" s="57"/>
    </row>
    <row r="69" spans="1:16" x14ac:dyDescent="0.2">
      <c r="A69" s="212"/>
      <c r="B69" s="409">
        <f>B58/(Iout/Number_of_Phases)</f>
        <v>0.51278575946507621</v>
      </c>
      <c r="C69"/>
      <c r="D69" s="409">
        <f>D58/Iout2</f>
        <v>0.24693251533742333</v>
      </c>
      <c r="F69" s="4"/>
      <c r="G69" s="410"/>
      <c r="I69" s="57"/>
    </row>
    <row r="70" spans="1:16" x14ac:dyDescent="0.2">
      <c r="A70" s="212"/>
      <c r="C70"/>
      <c r="I70" s="57"/>
    </row>
    <row r="71" spans="1:16" x14ac:dyDescent="0.2">
      <c r="A71" s="114" t="s">
        <v>648</v>
      </c>
      <c r="B71" s="408">
        <v>100</v>
      </c>
      <c r="C71" s="114" t="s">
        <v>465</v>
      </c>
      <c r="D71" s="582">
        <v>100</v>
      </c>
      <c r="E71" s="114" t="s">
        <v>465</v>
      </c>
      <c r="I71" s="57"/>
    </row>
    <row r="72" spans="1:16" x14ac:dyDescent="0.2">
      <c r="A72" s="212" t="s">
        <v>216</v>
      </c>
      <c r="B72" s="390">
        <f>Rdcr*(1+0.0039*(B71-25))</f>
        <v>6.4625000000000004E-3</v>
      </c>
      <c r="C72" s="213" t="s">
        <v>116</v>
      </c>
      <c r="D72" s="307">
        <f>Rdcr2*(1+0.0039*(D71-25))</f>
        <v>1.1632499999999999E-2</v>
      </c>
      <c r="E72" s="213" t="s">
        <v>116</v>
      </c>
      <c r="I72" s="57"/>
    </row>
    <row r="73" spans="1:16" ht="13.5" thickBot="1" x14ac:dyDescent="0.25">
      <c r="A73" s="314"/>
      <c r="B73" s="315"/>
      <c r="C73" s="61"/>
      <c r="D73" s="61"/>
      <c r="E73" s="61"/>
      <c r="F73" s="61"/>
      <c r="G73" s="61"/>
      <c r="H73" s="61"/>
      <c r="I73" s="62"/>
    </row>
    <row r="74" spans="1:16" x14ac:dyDescent="0.2">
      <c r="A74" s="2"/>
      <c r="B74" s="1"/>
      <c r="C74" s="1"/>
    </row>
    <row r="75" spans="1:16" ht="16.5" thickBot="1" x14ac:dyDescent="0.3">
      <c r="A75" s="525" t="s">
        <v>390</v>
      </c>
      <c r="B75" s="1"/>
      <c r="C75" s="1"/>
    </row>
    <row r="76" spans="1:16" x14ac:dyDescent="0.2">
      <c r="A76" s="91"/>
      <c r="B76" s="63"/>
      <c r="C76" s="63"/>
      <c r="D76" s="63"/>
      <c r="E76" s="63"/>
      <c r="F76" s="63"/>
      <c r="G76" s="63"/>
      <c r="H76" s="63"/>
      <c r="I76" s="64"/>
    </row>
    <row r="77" spans="1:16" x14ac:dyDescent="0.2">
      <c r="A77" s="212" t="s">
        <v>309</v>
      </c>
      <c r="B77" s="29">
        <f>'Design Regulator'!E17</f>
        <v>9</v>
      </c>
      <c r="C77" t="s">
        <v>1</v>
      </c>
      <c r="D77" s="317">
        <f>'Design Regulator'!J17</f>
        <v>5</v>
      </c>
      <c r="E77" s="114" t="s">
        <v>1</v>
      </c>
      <c r="F77" s="114" t="s">
        <v>516</v>
      </c>
      <c r="I77" s="57"/>
      <c r="K77" s="114"/>
      <c r="N77" s="114"/>
    </row>
    <row r="78" spans="1:16" x14ac:dyDescent="0.2">
      <c r="A78" s="212"/>
      <c r="C78"/>
      <c r="I78" s="57"/>
      <c r="K78" s="114"/>
      <c r="L78" s="114"/>
    </row>
    <row r="79" spans="1:16" x14ac:dyDescent="0.2">
      <c r="A79" s="212" t="s">
        <v>314</v>
      </c>
      <c r="B79" s="305">
        <f>CHOOSE(MODE, Ilimit_DC+Iripple_Vinmin/2, Ilimit_DC/Number_of_Phases+Iripple_Vinmin/2)</f>
        <v>9.9803921568627452</v>
      </c>
      <c r="C79" t="s">
        <v>1</v>
      </c>
      <c r="D79" s="305">
        <f>Ilimit2_DC+Iripple2_Vinmin/2</f>
        <v>5.9163346613545817</v>
      </c>
      <c r="E79" s="114" t="s">
        <v>1</v>
      </c>
      <c r="F79" s="114" t="s">
        <v>654</v>
      </c>
      <c r="I79" s="57"/>
      <c r="K79" s="4"/>
      <c r="L79" s="4"/>
      <c r="N79" s="311"/>
      <c r="P79" s="311"/>
    </row>
    <row r="80" spans="1:16" x14ac:dyDescent="0.2">
      <c r="A80" s="212" t="s">
        <v>316</v>
      </c>
      <c r="B80" s="305">
        <f>CHOOSE(MODE, Ilimit_DC+Iripple_Vinnom/2, Ilimit_DC/Number_of_Phases+Iripple_Vinnom/2)</f>
        <v>9.9897114739431885</v>
      </c>
      <c r="C80" t="s">
        <v>1</v>
      </c>
      <c r="D80" s="305">
        <f>Ilimit2_DC+Iripple2_Vinnom/2</f>
        <v>5.9310562934851365</v>
      </c>
      <c r="E80" s="114" t="s">
        <v>1</v>
      </c>
      <c r="I80" s="57"/>
      <c r="K80" s="4"/>
      <c r="L80" s="4"/>
      <c r="N80" s="311"/>
      <c r="P80" s="311"/>
    </row>
    <row r="81" spans="1:16" x14ac:dyDescent="0.2">
      <c r="A81" s="212" t="s">
        <v>315</v>
      </c>
      <c r="B81" s="305">
        <f>CHOOSE(MODE, Ilimit_DC+Iripple_Vinmax/2, Ilimit_DC/Number_of_Phases+Iripple_Vinmax/2)</f>
        <v>10.025571518930153</v>
      </c>
      <c r="C81" t="s">
        <v>1</v>
      </c>
      <c r="D81" s="305">
        <f>Ilimit2_DC+Iripple2_Vinmax/2</f>
        <v>5.9877300613496933</v>
      </c>
      <c r="E81" s="114" t="s">
        <v>1</v>
      </c>
      <c r="I81" s="57"/>
      <c r="K81" s="4"/>
      <c r="L81" s="4"/>
      <c r="N81" s="311"/>
      <c r="P81" s="311"/>
    </row>
    <row r="82" spans="1:16" x14ac:dyDescent="0.2">
      <c r="A82" s="212"/>
      <c r="B82" s="4"/>
      <c r="C82" s="114"/>
      <c r="D82" s="114"/>
      <c r="I82" s="57"/>
    </row>
    <row r="83" spans="1:16" x14ac:dyDescent="0.2">
      <c r="I83" s="57"/>
    </row>
    <row r="84" spans="1:16" x14ac:dyDescent="0.2">
      <c r="A84" s="212" t="s">
        <v>656</v>
      </c>
      <c r="B84" s="481">
        <v>6.6000000000000003E-2</v>
      </c>
      <c r="C84" s="114" t="s">
        <v>0</v>
      </c>
      <c r="E84" s="114"/>
      <c r="I84" s="57"/>
    </row>
    <row r="85" spans="1:16" x14ac:dyDescent="0.2">
      <c r="A85" s="212" t="s">
        <v>655</v>
      </c>
      <c r="B85" s="481">
        <v>7.2999999999999995E-2</v>
      </c>
      <c r="C85" s="114" t="s">
        <v>0</v>
      </c>
      <c r="E85" s="114"/>
      <c r="F85" s="2"/>
      <c r="I85" s="57"/>
    </row>
    <row r="86" spans="1:16" x14ac:dyDescent="0.2">
      <c r="A86" s="212" t="s">
        <v>657</v>
      </c>
      <c r="B86" s="481">
        <v>0.08</v>
      </c>
      <c r="C86" s="114" t="s">
        <v>0</v>
      </c>
      <c r="E86" s="114"/>
      <c r="I86" s="57"/>
    </row>
    <row r="87" spans="1:16" x14ac:dyDescent="0.2">
      <c r="A87" s="212"/>
      <c r="B87" s="360"/>
      <c r="C87" s="114"/>
      <c r="E87" s="114"/>
      <c r="F87">
        <f>SENSING_TYPE</f>
        <v>1</v>
      </c>
      <c r="I87" s="57"/>
    </row>
    <row r="88" spans="1:16" x14ac:dyDescent="0.2">
      <c r="A88" s="212" t="s">
        <v>553</v>
      </c>
      <c r="B88" s="307">
        <f>Buck_CS_threshold/B79</f>
        <v>7.3143418467583494E-3</v>
      </c>
      <c r="C88" s="213" t="s">
        <v>116</v>
      </c>
      <c r="D88" s="307">
        <f>Buck_CS_threshold/D79</f>
        <v>1.2338720538720538E-2</v>
      </c>
      <c r="E88" s="213" t="s">
        <v>116</v>
      </c>
      <c r="I88" s="57"/>
    </row>
    <row r="89" spans="1:16" x14ac:dyDescent="0.2">
      <c r="A89" s="212" t="s">
        <v>554</v>
      </c>
      <c r="B89" s="307">
        <f>Buck_CS_threshold/B80</f>
        <v>7.3075183593050335E-3</v>
      </c>
      <c r="C89" s="213" t="s">
        <v>116</v>
      </c>
      <c r="D89" s="307">
        <f>Buck_CS_threshold/D80</f>
        <v>1.2308094273221711E-2</v>
      </c>
      <c r="E89" s="213" t="s">
        <v>116</v>
      </c>
      <c r="I89" s="57"/>
    </row>
    <row r="90" spans="1:16" x14ac:dyDescent="0.2">
      <c r="A90" s="212" t="s">
        <v>555</v>
      </c>
      <c r="B90" s="307">
        <f>Buck_CS_threshold/B81</f>
        <v>7.2813804043153395E-3</v>
      </c>
      <c r="C90" s="213" t="s">
        <v>116</v>
      </c>
      <c r="D90" s="307">
        <f>Buck_CS_threshold/D81</f>
        <v>1.2191598360655738E-2</v>
      </c>
      <c r="E90" s="213" t="s">
        <v>116</v>
      </c>
      <c r="I90" s="57"/>
    </row>
    <row r="91" spans="1:16" x14ac:dyDescent="0.2">
      <c r="A91" s="212"/>
      <c r="B91" s="30"/>
      <c r="C91" s="213"/>
      <c r="E91" s="213"/>
      <c r="I91" s="57"/>
    </row>
    <row r="92" spans="1:16" x14ac:dyDescent="0.2">
      <c r="A92" s="212" t="s">
        <v>313</v>
      </c>
      <c r="B92" s="308">
        <f>B89</f>
        <v>7.3075183593050335E-3</v>
      </c>
      <c r="C92" s="213" t="s">
        <v>116</v>
      </c>
      <c r="D92" s="307">
        <f>D89</f>
        <v>1.2308094273221711E-2</v>
      </c>
      <c r="E92" s="213" t="s">
        <v>116</v>
      </c>
      <c r="F92" s="114" t="s">
        <v>658</v>
      </c>
      <c r="I92" s="57"/>
    </row>
    <row r="93" spans="1:16" x14ac:dyDescent="0.2">
      <c r="A93" s="212" t="s">
        <v>167</v>
      </c>
      <c r="B93" s="664">
        <f>CHOOSE(SENSING_TYPE, 'Design Regulator'!E19/1000, Rdcr)</f>
        <v>0.01</v>
      </c>
      <c r="C93" s="213" t="s">
        <v>116</v>
      </c>
      <c r="D93" s="584">
        <f>CHOOSE(SENSING_TYPE, 'Design Regulator'!J19/1000, Rdcr2)</f>
        <v>0.01</v>
      </c>
      <c r="E93" s="213" t="s">
        <v>116</v>
      </c>
      <c r="F93" s="114" t="s">
        <v>317</v>
      </c>
      <c r="I93" s="57"/>
      <c r="K93" s="114"/>
      <c r="L93" s="114"/>
    </row>
    <row r="94" spans="1:16" x14ac:dyDescent="0.2">
      <c r="A94" s="212"/>
      <c r="B94" s="411"/>
      <c r="C94" s="213"/>
      <c r="E94" s="213"/>
      <c r="I94" s="57"/>
      <c r="K94" s="114"/>
      <c r="L94" s="114"/>
    </row>
    <row r="95" spans="1:16" x14ac:dyDescent="0.2">
      <c r="A95" s="212" t="s">
        <v>659</v>
      </c>
      <c r="B95" s="305">
        <f>Buck_CS_threshold/Rs</f>
        <v>7.3</v>
      </c>
      <c r="C95" s="114" t="s">
        <v>1</v>
      </c>
      <c r="D95" s="305">
        <f>Buck_CS_threshold/Rs_Ch2</f>
        <v>7.3</v>
      </c>
      <c r="E95" s="114" t="s">
        <v>1</v>
      </c>
      <c r="F95" s="114" t="s">
        <v>660</v>
      </c>
      <c r="I95" s="57"/>
    </row>
    <row r="96" spans="1:16" x14ac:dyDescent="0.2">
      <c r="A96" s="212"/>
      <c r="E96" s="2"/>
      <c r="I96" s="57"/>
    </row>
    <row r="97" spans="1:12" ht="15.75" x14ac:dyDescent="0.3">
      <c r="A97" s="212" t="s">
        <v>429</v>
      </c>
      <c r="B97" s="312">
        <f>Number_of_Phases*(Buck_CS_threshold/Rs-Iripple_Vinmin/2)</f>
        <v>6.3196078431372547</v>
      </c>
      <c r="C97" t="s">
        <v>1</v>
      </c>
      <c r="D97" s="312">
        <f>Buck_CS_threshold/Rs_Ch2-Iripple2_Vinmin/2</f>
        <v>6.3836653386454181</v>
      </c>
      <c r="E97" t="s">
        <v>1</v>
      </c>
      <c r="F97" s="114" t="s">
        <v>431</v>
      </c>
      <c r="I97" s="57"/>
    </row>
    <row r="98" spans="1:12" x14ac:dyDescent="0.2">
      <c r="A98" s="212" t="s">
        <v>459</v>
      </c>
      <c r="B98" s="312">
        <f>Number_of_Phases*(Buck_CS_threshold/Rs-Iripple_Vinnom/2)</f>
        <v>6.3102885260568105</v>
      </c>
      <c r="C98" t="s">
        <v>1</v>
      </c>
      <c r="D98" s="312">
        <f>Buck_CS_threshold/Rs_Ch2-Iripple2_Vinnom/2</f>
        <v>6.3689437065148642</v>
      </c>
      <c r="E98" t="s">
        <v>1</v>
      </c>
      <c r="I98" s="57"/>
    </row>
    <row r="99" spans="1:12" x14ac:dyDescent="0.2">
      <c r="A99" s="212" t="s">
        <v>430</v>
      </c>
      <c r="B99" s="312">
        <f>Number_of_Phases*(Buck_CS_threshold/Rs-Iripple_Vinmax/2)</f>
        <v>6.2744284810698474</v>
      </c>
      <c r="C99" t="s">
        <v>1</v>
      </c>
      <c r="D99" s="312">
        <f>Buck_CS_threshold/Rs_Ch2-Iripple2_Vinmax/2</f>
        <v>6.3122699386503065</v>
      </c>
      <c r="E99" t="s">
        <v>1</v>
      </c>
      <c r="I99" s="57"/>
    </row>
    <row r="100" spans="1:12" x14ac:dyDescent="0.2">
      <c r="A100" s="212"/>
      <c r="B100" s="48"/>
      <c r="C100"/>
      <c r="D100" s="48"/>
      <c r="I100" s="57"/>
    </row>
    <row r="101" spans="1:12" x14ac:dyDescent="0.2">
      <c r="A101" s="212" t="s">
        <v>664</v>
      </c>
      <c r="B101" s="520">
        <f>SQRT((Iout_OCP_Vinmin/Number_of_Phases)^2+(Iripple_Vinmin^2)/12)</f>
        <v>6.3449060579954919</v>
      </c>
      <c r="C101" t="s">
        <v>1</v>
      </c>
      <c r="D101" s="520">
        <f>SQRT(Iout2_OCP_Vinmin^2+(Iripple2_Vinmin^2)/12)</f>
        <v>6.405550163180588</v>
      </c>
      <c r="E101" t="s">
        <v>1</v>
      </c>
      <c r="I101" s="57"/>
    </row>
    <row r="102" spans="1:12" x14ac:dyDescent="0.2">
      <c r="A102" s="212" t="s">
        <v>665</v>
      </c>
      <c r="B102" s="520">
        <f>SQRT((Iout_OCP_Vinnom/Number_of_Phases)^2+(Iripple_Vinnom^2)/12)</f>
        <v>6.3361069184978112</v>
      </c>
      <c r="C102" t="s">
        <v>1</v>
      </c>
      <c r="D102" s="520">
        <f>SQRT(Iout2_OCP_Vinnom^2+(Iripple2_Vinnom^2)/12)</f>
        <v>6.3915881602802544</v>
      </c>
      <c r="E102" t="s">
        <v>1</v>
      </c>
      <c r="I102" s="57"/>
    </row>
    <row r="103" spans="1:12" x14ac:dyDescent="0.2">
      <c r="A103" s="212" t="s">
        <v>666</v>
      </c>
      <c r="B103" s="520">
        <f>SQRT((Iout_OCP_Vinmax/Number_of_Phases)^2+(Iripple_Vinmax^2)/12)</f>
        <v>6.3023052722164588</v>
      </c>
      <c r="C103" t="s">
        <v>1</v>
      </c>
      <c r="D103" s="520">
        <f>SQRT(Iout2_OCP_Vinmax^2+(Iripple2_Vinmax^2)/12)</f>
        <v>6.3379772275087607</v>
      </c>
      <c r="E103" t="s">
        <v>1</v>
      </c>
      <c r="I103" s="57"/>
    </row>
    <row r="104" spans="1:12" x14ac:dyDescent="0.2">
      <c r="A104" s="212"/>
      <c r="B104" s="48"/>
      <c r="C104"/>
      <c r="D104" s="48"/>
      <c r="I104" s="57"/>
    </row>
    <row r="105" spans="1:12" x14ac:dyDescent="0.2">
      <c r="A105" s="212" t="s">
        <v>661</v>
      </c>
      <c r="B105" s="520">
        <f>B101^2*Rs</f>
        <v>0.40257832884787897</v>
      </c>
      <c r="C105" s="114" t="s">
        <v>116</v>
      </c>
      <c r="D105" s="520">
        <f>D101^2*Rs_Ch2</f>
        <v>0.41031072893022857</v>
      </c>
      <c r="E105" s="114" t="s">
        <v>116</v>
      </c>
      <c r="F105" s="114" t="s">
        <v>667</v>
      </c>
      <c r="I105" s="57"/>
    </row>
    <row r="106" spans="1:12" x14ac:dyDescent="0.2">
      <c r="A106" s="212" t="s">
        <v>662</v>
      </c>
      <c r="B106" s="520">
        <f>B102^2*Rs</f>
        <v>0.40146250882635826</v>
      </c>
      <c r="C106" t="s">
        <v>116</v>
      </c>
      <c r="D106" s="520">
        <f>D102^2*Rs_Ch2</f>
        <v>0.40852399210634732</v>
      </c>
      <c r="E106" t="s">
        <v>116</v>
      </c>
      <c r="I106" s="57"/>
    </row>
    <row r="107" spans="1:12" x14ac:dyDescent="0.2">
      <c r="A107" s="212" t="s">
        <v>663</v>
      </c>
      <c r="B107" s="520">
        <f>B103^2*Rs</f>
        <v>0.39719051744207373</v>
      </c>
      <c r="C107" t="s">
        <v>116</v>
      </c>
      <c r="D107" s="520">
        <f>D103^2*Rs_Ch2</f>
        <v>0.40169955336419633</v>
      </c>
      <c r="E107" t="s">
        <v>116</v>
      </c>
      <c r="I107" s="57"/>
    </row>
    <row r="108" spans="1:12" ht="13.5" thickBot="1" x14ac:dyDescent="0.25">
      <c r="A108" s="60"/>
      <c r="B108" s="61"/>
      <c r="C108" s="61"/>
      <c r="D108" s="61"/>
      <c r="E108" s="118"/>
      <c r="F108" s="61"/>
      <c r="G108" s="61"/>
      <c r="H108" s="61"/>
      <c r="I108" s="62"/>
    </row>
    <row r="110" spans="1:12" ht="16.5" thickBot="1" x14ac:dyDescent="0.3">
      <c r="A110" s="534" t="s">
        <v>139</v>
      </c>
      <c r="D110" s="2"/>
    </row>
    <row r="111" spans="1:12" x14ac:dyDescent="0.2">
      <c r="A111" s="211" t="s">
        <v>320</v>
      </c>
      <c r="B111" s="589">
        <f>Iripple_Vinmin/SQRT(12)</f>
        <v>0.56602967567610363</v>
      </c>
      <c r="C111" s="313" t="s">
        <v>1</v>
      </c>
      <c r="D111" s="589">
        <f>Iripple2_Vinmin/SQRT(12)</f>
        <v>0.52904606340085236</v>
      </c>
      <c r="E111" s="313" t="s">
        <v>1</v>
      </c>
      <c r="F111" s="117" t="s">
        <v>319</v>
      </c>
      <c r="G111" s="63"/>
      <c r="H111" s="63"/>
      <c r="I111" s="64"/>
      <c r="L111" s="4"/>
    </row>
    <row r="112" spans="1:12" x14ac:dyDescent="0.2">
      <c r="A112" s="212" t="s">
        <v>321</v>
      </c>
      <c r="B112" s="520">
        <f>Iripple_Vinnom/SQRT(12)</f>
        <v>0.57141018590116166</v>
      </c>
      <c r="C112" s="114" t="s">
        <v>1</v>
      </c>
      <c r="D112" s="520">
        <f>Iripple2_Vinnom/SQRT(12)</f>
        <v>0.53754560167433851</v>
      </c>
      <c r="E112" s="114" t="s">
        <v>1</v>
      </c>
      <c r="F112" s="114"/>
      <c r="I112" s="57"/>
      <c r="L112" s="4"/>
    </row>
    <row r="113" spans="1:12" x14ac:dyDescent="0.2">
      <c r="A113" s="212" t="s">
        <v>322</v>
      </c>
      <c r="B113" s="520">
        <f>Iripple_Vinmax/SQRT(12)</f>
        <v>0.59211399252753694</v>
      </c>
      <c r="C113" s="114" t="s">
        <v>1</v>
      </c>
      <c r="D113" s="520">
        <f>Iripple2_Vinmax/SQRT(12)</f>
        <v>0.57026621680693101</v>
      </c>
      <c r="E113" s="114" t="s">
        <v>1</v>
      </c>
      <c r="F113" s="114"/>
      <c r="I113" s="57"/>
      <c r="L113" s="4"/>
    </row>
    <row r="114" spans="1:12" x14ac:dyDescent="0.2">
      <c r="A114" s="212" t="s">
        <v>558</v>
      </c>
      <c r="B114" s="520">
        <f>MAX(B111:B113)</f>
        <v>0.59211399252753694</v>
      </c>
      <c r="C114" s="114" t="s">
        <v>1</v>
      </c>
      <c r="D114" s="520">
        <f>MAX(D111:D113)</f>
        <v>0.57026621680693101</v>
      </c>
      <c r="E114" s="114" t="s">
        <v>1</v>
      </c>
      <c r="F114" s="114"/>
      <c r="I114" s="57"/>
      <c r="L114" s="4"/>
    </row>
    <row r="115" spans="1:12" x14ac:dyDescent="0.2">
      <c r="A115" s="212"/>
      <c r="B115" s="48"/>
      <c r="C115" s="114"/>
      <c r="F115" s="114"/>
      <c r="I115" s="57"/>
      <c r="L115" s="4"/>
    </row>
    <row r="116" spans="1:12" x14ac:dyDescent="0.2">
      <c r="A116" s="212" t="s">
        <v>21</v>
      </c>
      <c r="B116" s="413">
        <f>'Design Regulator'!E33/1000</f>
        <v>0.05</v>
      </c>
      <c r="C116" t="s">
        <v>0</v>
      </c>
      <c r="D116" s="317">
        <f>'Design Regulator'!J33/1000</f>
        <v>0.05</v>
      </c>
      <c r="E116" t="s">
        <v>0</v>
      </c>
      <c r="F116" s="114" t="s">
        <v>432</v>
      </c>
      <c r="I116" s="57"/>
    </row>
    <row r="117" spans="1:12" x14ac:dyDescent="0.2">
      <c r="A117" s="212"/>
      <c r="B117" s="114"/>
      <c r="C117"/>
      <c r="F117" s="114"/>
      <c r="I117" s="57"/>
    </row>
    <row r="118" spans="1:12" x14ac:dyDescent="0.2">
      <c r="A118" s="212" t="s">
        <v>415</v>
      </c>
      <c r="B118" s="412">
        <f>Vo1_ripple*1000</f>
        <v>50</v>
      </c>
      <c r="C118" s="114" t="s">
        <v>292</v>
      </c>
      <c r="D118" s="310">
        <f>Vo2_ripple*1000</f>
        <v>50</v>
      </c>
      <c r="E118" s="114" t="s">
        <v>292</v>
      </c>
      <c r="F118" s="114" t="s">
        <v>433</v>
      </c>
      <c r="I118" s="57"/>
      <c r="L118" s="4"/>
    </row>
    <row r="119" spans="1:12" x14ac:dyDescent="0.2">
      <c r="A119" s="56"/>
      <c r="B119" s="114"/>
      <c r="F119" s="114"/>
      <c r="I119" s="57"/>
    </row>
    <row r="120" spans="1:12" x14ac:dyDescent="0.2">
      <c r="A120" s="66" t="s">
        <v>22</v>
      </c>
      <c r="B120" s="422">
        <f>Iripple_Vinnom/(Fsw*8*Vo1_ripple)</f>
        <v>2.3564558903409266E-6</v>
      </c>
      <c r="C120" t="s">
        <v>24</v>
      </c>
      <c r="D120" s="422">
        <f>Iripple2_Vinnom/(Fsw*8*Vo2_ripple)</f>
        <v>2.2168006987741334E-6</v>
      </c>
      <c r="E120" t="s">
        <v>24</v>
      </c>
      <c r="F120" s="114" t="s">
        <v>813</v>
      </c>
      <c r="H120">
        <f>Vo2_ripple</f>
        <v>0.05</v>
      </c>
      <c r="I120" s="57">
        <v>1</v>
      </c>
      <c r="K120" s="1"/>
    </row>
    <row r="121" spans="1:12" x14ac:dyDescent="0.2">
      <c r="A121" s="212" t="s">
        <v>564</v>
      </c>
      <c r="B121" s="478">
        <f>IF(Cout_min*1000000&lt;2, 2.2,Cout_min*1000000)</f>
        <v>2.3564558903409267</v>
      </c>
      <c r="C121" s="42" t="s">
        <v>23</v>
      </c>
      <c r="D121" s="478">
        <f>IF(Cout2_min*1000000&lt;2, 2.2,Cout2_min*1000000)</f>
        <v>2.2168006987741333</v>
      </c>
      <c r="E121" s="42" t="s">
        <v>23</v>
      </c>
      <c r="I121" s="57"/>
      <c r="K121" s="1"/>
    </row>
    <row r="122" spans="1:12" x14ac:dyDescent="0.2">
      <c r="A122" s="212" t="s">
        <v>25</v>
      </c>
      <c r="B122" s="423">
        <f>'Design Regulator'!E35/1000000</f>
        <v>4.6999999999999999E-6</v>
      </c>
      <c r="C122" t="s">
        <v>24</v>
      </c>
      <c r="D122" s="423">
        <f>'Design Regulator'!J35/1000000</f>
        <v>4.6999999999999999E-6</v>
      </c>
      <c r="E122" t="s">
        <v>24</v>
      </c>
      <c r="F122" s="114" t="s">
        <v>812</v>
      </c>
      <c r="I122" s="57">
        <v>1</v>
      </c>
    </row>
    <row r="123" spans="1:12" x14ac:dyDescent="0.2">
      <c r="A123" s="66" t="s">
        <v>48</v>
      </c>
      <c r="B123" s="479">
        <f>SQRT((Vo1_ripple/Iripple_Vinnom)^2-(1/(Fsw*Cout*8))^2)</f>
        <v>2.1855634902616404E-2</v>
      </c>
      <c r="C123" s="213" t="s">
        <v>116</v>
      </c>
      <c r="D123" s="479">
        <f>SQRT((Vo2_ripple/Iripple2_Vinnom)^2-(1/(Fsw*Cout2*8))^2)</f>
        <v>2.3676888577565374E-2</v>
      </c>
      <c r="E123" s="213" t="s">
        <v>116</v>
      </c>
      <c r="F123" s="114" t="s">
        <v>239</v>
      </c>
      <c r="I123" s="57">
        <v>1</v>
      </c>
    </row>
    <row r="124" spans="1:12" x14ac:dyDescent="0.2">
      <c r="A124" s="2"/>
      <c r="B124" s="523"/>
      <c r="C124" s="213"/>
      <c r="D124" s="523"/>
      <c r="E124" s="213"/>
      <c r="F124" s="114"/>
      <c r="I124" s="57"/>
    </row>
    <row r="125" spans="1:12" x14ac:dyDescent="0.2">
      <c r="A125" s="476" t="s">
        <v>514</v>
      </c>
      <c r="B125" s="477">
        <f>IF(OR(CoutEsrMax&gt;0.3, CoutEsrMax&lt;0, (ISERROR(CoutEsrMax))), "N/A", CoutEsrMax*1000)</f>
        <v>21.855634902616405</v>
      </c>
      <c r="C125" s="45" t="s">
        <v>318</v>
      </c>
      <c r="D125" s="477">
        <f>IF(OR(Cout2EsrMax&gt;0.3, Cout2EsrMax&lt;0, (ISERROR(Cout2EsrMax))), "N/A", Cout2EsrMax*1000)</f>
        <v>23.676888577565375</v>
      </c>
      <c r="E125" s="45" t="s">
        <v>318</v>
      </c>
      <c r="F125" s="114"/>
      <c r="I125" s="57"/>
    </row>
    <row r="126" spans="1:12" x14ac:dyDescent="0.2">
      <c r="A126" s="212" t="s">
        <v>137</v>
      </c>
      <c r="B126" s="413">
        <f>'Design Regulator'!E37/1000</f>
        <v>2E-3</v>
      </c>
      <c r="C126" s="213" t="s">
        <v>116</v>
      </c>
      <c r="D126" s="413">
        <f>'Design Regulator'!J37/1000</f>
        <v>2E-3</v>
      </c>
      <c r="E126" s="213" t="s">
        <v>116</v>
      </c>
      <c r="F126" s="114" t="s">
        <v>240</v>
      </c>
      <c r="I126" s="57">
        <v>1</v>
      </c>
      <c r="K126" t="b">
        <f>ISERROR(CoutEsrMax)</f>
        <v>0</v>
      </c>
      <c r="L126" t="b">
        <f>ISERROR(B125)</f>
        <v>0</v>
      </c>
    </row>
    <row r="127" spans="1:12" ht="13.5" thickBot="1" x14ac:dyDescent="0.25">
      <c r="A127" s="381" t="s">
        <v>194</v>
      </c>
      <c r="B127" s="414">
        <f>Iripple_Vinnom*SQRT(Cout_ESR^2+(1/(8*Fsw*Cout))^2)</f>
        <v>2.5379345183621938E-2</v>
      </c>
      <c r="C127" s="105" t="s">
        <v>39</v>
      </c>
      <c r="D127" s="414">
        <f>Iripple2_Vinnom*SQRT(Cout2_ESR^2+(1/(8*Fsw*Cout2))^2)</f>
        <v>2.3875240087495694E-2</v>
      </c>
      <c r="E127" s="105" t="s">
        <v>39</v>
      </c>
      <c r="F127" s="61"/>
      <c r="G127" s="61"/>
      <c r="H127" s="61"/>
      <c r="I127" s="62"/>
      <c r="L127" t="b">
        <f>OR(CoutEsrMax&gt;0.3,CoutEsrMax&lt;0)</f>
        <v>0</v>
      </c>
    </row>
    <row r="128" spans="1:12" x14ac:dyDescent="0.2">
      <c r="K128" t="b">
        <f>OR(TRUE, FALSE, TRUE)</f>
        <v>1</v>
      </c>
    </row>
    <row r="129" spans="1:16" ht="16.5" thickBot="1" x14ac:dyDescent="0.3">
      <c r="A129" s="534" t="s">
        <v>140</v>
      </c>
    </row>
    <row r="130" spans="1:16" ht="15.75" x14ac:dyDescent="0.25">
      <c r="A130" s="95"/>
      <c r="B130" s="96"/>
      <c r="C130" s="316"/>
      <c r="D130" s="96"/>
      <c r="E130" s="96"/>
      <c r="F130" s="96"/>
      <c r="G130" s="96"/>
      <c r="H130" s="96"/>
      <c r="I130" s="97"/>
      <c r="K130" s="2" t="s">
        <v>836</v>
      </c>
    </row>
    <row r="131" spans="1:16" x14ac:dyDescent="0.2">
      <c r="A131" s="212" t="s">
        <v>556</v>
      </c>
      <c r="B131" s="112">
        <f>SQRT(D1_Vinmin_2*(Iout^2*(1-D1_Vinmin_2)+Iripple_Vinmin^2/12))</f>
        <v>1.5121407598710714</v>
      </c>
      <c r="C131" s="93" t="s">
        <v>1</v>
      </c>
      <c r="D131" s="112">
        <f>SQRT(D2_Vinmin_2*(Iout2^2*(1-D2_Vinmin_2)+Iripple2_Vinmin^2/12))</f>
        <v>3.5041982310174622</v>
      </c>
      <c r="E131" s="93" t="s">
        <v>1</v>
      </c>
      <c r="F131" s="2" t="s">
        <v>837</v>
      </c>
      <c r="G131" s="360"/>
      <c r="H131" s="116"/>
      <c r="I131" s="99"/>
      <c r="K131" s="656">
        <f>SQRT(Iout^2*D1_Vinmin*(1-D1_Vinmin)+Iout2^2*D2_Vinmin*(1-D2_Vinmin)-2*Iout*Iout2*D1_Vinmin*D2_Vinmin)</f>
        <v>3.4006469972639031</v>
      </c>
      <c r="L131" s="93" t="s">
        <v>1</v>
      </c>
      <c r="M131" s="305" t="e">
        <f>SQRT(Iout^2*D1_Vinmin*(1-D1_Vinmin)+Iout2^2*D2_Vinmin*(1-D2_Vinmin)-2*Iout*Iout2*(0.5-D2_Vinmin*(1-D1_Vinmin)))</f>
        <v>#NUM!</v>
      </c>
      <c r="N131" t="s">
        <v>1</v>
      </c>
    </row>
    <row r="132" spans="1:16" x14ac:dyDescent="0.2">
      <c r="A132" s="212" t="s">
        <v>557</v>
      </c>
      <c r="B132" s="112">
        <f>SQRT(D1_Vinnom_2*(Iout^2*(1-D1_Vinnom_2)+Iripple_Vinnom^2/12))</f>
        <v>1.4829805229480173</v>
      </c>
      <c r="C132" s="93" t="s">
        <v>1</v>
      </c>
      <c r="D132" s="112">
        <f>SQRT(D2_Vinnom_2*(Iout2^2*(1-D2_Vinnom_2)+Iripple2_Vinnom^2/12))</f>
        <v>3.4481138009097489</v>
      </c>
      <c r="E132" s="93" t="s">
        <v>1</v>
      </c>
      <c r="G132" s="360"/>
      <c r="I132" s="99"/>
      <c r="K132" s="305">
        <f>SQRT(Iout^2*D1_Vinnom*(1-D1_Vinnom)+Iout2^2*D2_Vinnom*(1-D2_Vinnom)-2*Iout*Iout2*D1_Vinnom*D2_Vinnom)</f>
        <v>3.366690240370084</v>
      </c>
      <c r="L132" s="93" t="s">
        <v>1</v>
      </c>
    </row>
    <row r="133" spans="1:16" x14ac:dyDescent="0.2">
      <c r="A133" s="212" t="s">
        <v>835</v>
      </c>
      <c r="B133" s="112">
        <f>SQRT(D1_Vinmax_2*(Iout^2*(1-D1_Vinmax_2)+Iripple_Vinmax^2/12))</f>
        <v>1.3577059803860638</v>
      </c>
      <c r="C133" s="93" t="s">
        <v>1</v>
      </c>
      <c r="D133" s="112">
        <f>SQRT(D2_Vinmax_2*(Iout2^2*(1-D2_Vinmax_2)+Iripple2_Vinmax^2/12))</f>
        <v>3.1952502446069615</v>
      </c>
      <c r="E133" s="93" t="s">
        <v>1</v>
      </c>
      <c r="G133" s="360"/>
      <c r="I133" s="99"/>
      <c r="K133" s="305">
        <f>SQRT(Iout^2*D1_Vinmax*(1-D1_Vinmax)+Iout2^2*D2_Vinmax*(1-D2_Vinmax)-2*Iout*Iout2*D1_Vinmax*D2_Vinmax)</f>
        <v>3.1861757604268104</v>
      </c>
      <c r="L133" s="93" t="s">
        <v>1</v>
      </c>
    </row>
    <row r="134" spans="1:16" x14ac:dyDescent="0.2">
      <c r="A134" s="212" t="s">
        <v>562</v>
      </c>
      <c r="B134" s="655">
        <f>MAX(B131:B133, D131:D133)</f>
        <v>3.5041982310174622</v>
      </c>
      <c r="C134" s="42" t="s">
        <v>1</v>
      </c>
      <c r="I134" s="99"/>
      <c r="K134" s="657">
        <f>MAX(K131:K133)</f>
        <v>3.4006469972639031</v>
      </c>
      <c r="L134" s="42" t="s">
        <v>1</v>
      </c>
    </row>
    <row r="135" spans="1:16" x14ac:dyDescent="0.2">
      <c r="A135" s="114"/>
      <c r="B135" s="658"/>
      <c r="C135" s="42"/>
      <c r="D135" s="2"/>
      <c r="F135">
        <f>Number_of_Phases*D1_Vinnom</f>
        <v>0.15714285714285714</v>
      </c>
      <c r="G135" t="s">
        <v>838</v>
      </c>
      <c r="I135" s="99"/>
      <c r="K135" s="657"/>
      <c r="L135" s="42"/>
      <c r="P135" s="4"/>
    </row>
    <row r="136" spans="1:16" x14ac:dyDescent="0.2">
      <c r="A136" s="114" t="s">
        <v>840</v>
      </c>
      <c r="B136" s="305">
        <f>Iout*SQRT((D1_Vinnom-F136/Number_of_Phases)*((F136+1)/Number_of_Phases-D1_Vinnom))</f>
        <v>1.4557416231836569</v>
      </c>
      <c r="C136" t="s">
        <v>1</v>
      </c>
      <c r="D136" s="2"/>
      <c r="F136">
        <f>FLOOR(Number_of_Phases*D1_Vinnom,1)</f>
        <v>0</v>
      </c>
      <c r="G136" t="s">
        <v>839</v>
      </c>
      <c r="I136" s="99"/>
      <c r="K136" s="657"/>
      <c r="L136" s="42"/>
      <c r="P136" s="4"/>
    </row>
    <row r="137" spans="1:16" x14ac:dyDescent="0.2">
      <c r="A137" s="114" t="s">
        <v>842</v>
      </c>
      <c r="B137">
        <f>Iout/2/Number_of_Phases</f>
        <v>2</v>
      </c>
      <c r="C137" s="114" t="s">
        <v>1</v>
      </c>
      <c r="I137" s="99"/>
      <c r="K137" s="657"/>
      <c r="L137" s="42"/>
      <c r="P137" s="4"/>
    </row>
    <row r="138" spans="1:16" x14ac:dyDescent="0.2">
      <c r="A138" s="114" t="s">
        <v>841</v>
      </c>
      <c r="B138" s="659">
        <f>CHOOSE(MODE, B134, B137)</f>
        <v>3.5041982310174622</v>
      </c>
      <c r="C138" s="42" t="s">
        <v>1</v>
      </c>
      <c r="D138" s="2" t="s">
        <v>585</v>
      </c>
      <c r="I138" s="99"/>
      <c r="K138" s="657"/>
      <c r="L138" s="42"/>
      <c r="P138" s="4"/>
    </row>
    <row r="139" spans="1:16" x14ac:dyDescent="0.2">
      <c r="A139" s="114"/>
      <c r="B139" s="658"/>
      <c r="C139" s="42"/>
      <c r="D139" s="2"/>
      <c r="I139" s="99"/>
      <c r="K139" s="657"/>
      <c r="L139" s="42"/>
      <c r="P139" s="4"/>
    </row>
    <row r="140" spans="1:16" x14ac:dyDescent="0.2">
      <c r="A140" s="98" t="s">
        <v>220</v>
      </c>
      <c r="B140" s="317">
        <f>'Design Regulator'!E42/1000</f>
        <v>0.25</v>
      </c>
      <c r="C140" t="s">
        <v>39</v>
      </c>
      <c r="F140" s="114" t="s">
        <v>563</v>
      </c>
      <c r="I140" s="99"/>
    </row>
    <row r="141" spans="1:16" x14ac:dyDescent="0.2">
      <c r="A141" s="114"/>
      <c r="B141" s="524"/>
      <c r="C141" s="93"/>
      <c r="G141" s="360"/>
      <c r="I141" s="99"/>
    </row>
    <row r="142" spans="1:16" x14ac:dyDescent="0.2">
      <c r="A142" s="476" t="s">
        <v>572</v>
      </c>
      <c r="B142" s="531">
        <f>Iout/Number_of_Phases*D1_Vinmax*(1-D1_Vinmax)/(Vinripple1*Fsw)</f>
        <v>8.4429416737109035E-7</v>
      </c>
      <c r="C142" s="93" t="s">
        <v>24</v>
      </c>
      <c r="F142" s="114" t="s">
        <v>580</v>
      </c>
      <c r="I142" s="99"/>
      <c r="K142" s="8"/>
    </row>
    <row r="143" spans="1:16" x14ac:dyDescent="0.2">
      <c r="A143" s="476" t="s">
        <v>576</v>
      </c>
      <c r="B143" s="532">
        <f>MAX(Iout/Number_of_Phases*0.5*(1-0.5)/(Vinripple1*Fsw), Iout2*0.5*(1-0.5)/(Vinripple1*Fsw))</f>
        <v>3.8095238095238094E-6</v>
      </c>
      <c r="C143" s="42" t="s">
        <v>24</v>
      </c>
      <c r="F143" s="114" t="s">
        <v>573</v>
      </c>
      <c r="G143" s="30"/>
      <c r="I143" s="99"/>
      <c r="K143" s="8"/>
    </row>
    <row r="144" spans="1:16" x14ac:dyDescent="0.2">
      <c r="A144" s="476" t="s">
        <v>219</v>
      </c>
      <c r="B144" s="30">
        <f>IF(VIN_max&lt;2*Vout, B142,B143)</f>
        <v>3.8095238095238094E-6</v>
      </c>
      <c r="C144" s="42" t="s">
        <v>24</v>
      </c>
      <c r="G144" s="30"/>
      <c r="I144" s="99"/>
      <c r="K144" s="8"/>
    </row>
    <row r="145" spans="1:11" x14ac:dyDescent="0.2">
      <c r="A145" s="476" t="s">
        <v>513</v>
      </c>
      <c r="B145" s="654">
        <f>IF(Cinmin*1000000&lt;10, 10,Cinmin*1000000)</f>
        <v>10</v>
      </c>
      <c r="C145" s="42" t="s">
        <v>23</v>
      </c>
      <c r="F145" s="114" t="s">
        <v>585</v>
      </c>
      <c r="I145" s="99"/>
    </row>
    <row r="146" spans="1:11" x14ac:dyDescent="0.2">
      <c r="A146" s="100" t="s">
        <v>57</v>
      </c>
      <c r="B146" s="424">
        <f>'Design Regulator'!E44/1000000</f>
        <v>5.0000000000000002E-5</v>
      </c>
      <c r="C146" s="93" t="s">
        <v>24</v>
      </c>
      <c r="F146" t="s">
        <v>147</v>
      </c>
      <c r="I146" s="99"/>
    </row>
    <row r="147" spans="1:11" x14ac:dyDescent="0.2">
      <c r="A147" s="476" t="s">
        <v>574</v>
      </c>
      <c r="B147" s="307">
        <f>-(Iout/Number_of_Phases*D1_Vinmax*(1-D1_Vinmax)/(Cin*Fsw)-Vinripple1)/(Iout/Number_of_Phases+Iripple_Vinmax/2)</f>
        <v>4.8905587799786418E-2</v>
      </c>
      <c r="C147" s="213" t="s">
        <v>116</v>
      </c>
      <c r="I147" s="99"/>
    </row>
    <row r="148" spans="1:11" x14ac:dyDescent="0.2">
      <c r="A148" s="476" t="s">
        <v>575</v>
      </c>
      <c r="B148" s="307">
        <f>-(Iout/Number_of_Phases*0.5*(1-0.5)/(Cin*Fsw)-Vinripple1)/(Iout/Number_of_Phases+Iripple_Vinmax/2)</f>
        <v>4.785051601999353E-2</v>
      </c>
      <c r="C148" s="213" t="s">
        <v>116</v>
      </c>
      <c r="F148" s="114" t="s">
        <v>581</v>
      </c>
      <c r="I148" s="99"/>
    </row>
    <row r="149" spans="1:11" x14ac:dyDescent="0.2">
      <c r="A149" s="476" t="s">
        <v>221</v>
      </c>
      <c r="B149" s="307">
        <f>IF(VIN_max&lt;2*Vout, B147,B148)</f>
        <v>4.785051601999353E-2</v>
      </c>
      <c r="C149" s="213" t="s">
        <v>116</v>
      </c>
      <c r="I149" s="99"/>
    </row>
    <row r="150" spans="1:11" x14ac:dyDescent="0.2">
      <c r="A150" s="476" t="s">
        <v>515</v>
      </c>
      <c r="B150" s="522">
        <f>IF(OR(CinEsrMax&gt;0.3, CinEsrMax&lt;0), "N/A",CinEsrMax*1000)</f>
        <v>47.850516019993528</v>
      </c>
      <c r="C150" s="45" t="s">
        <v>318</v>
      </c>
      <c r="F150" t="s">
        <v>585</v>
      </c>
      <c r="I150" s="99"/>
    </row>
    <row r="151" spans="1:11" x14ac:dyDescent="0.2">
      <c r="A151" s="100" t="s">
        <v>86</v>
      </c>
      <c r="B151" s="94">
        <f>'Design Regulator'!E46/1000</f>
        <v>1E-3</v>
      </c>
      <c r="C151" s="213" t="s">
        <v>116</v>
      </c>
      <c r="F151" s="114" t="s">
        <v>241</v>
      </c>
      <c r="I151" s="99"/>
    </row>
    <row r="152" spans="1:11" x14ac:dyDescent="0.2">
      <c r="F152" s="114"/>
      <c r="I152" s="99"/>
      <c r="K152" s="311"/>
    </row>
    <row r="153" spans="1:11" x14ac:dyDescent="0.2">
      <c r="A153" s="476" t="s">
        <v>577</v>
      </c>
      <c r="B153" s="393">
        <f>Iout/Number_of_Phases*D1_Vinmax_2*(1-D1_Vinmax_2)/(Cin*Fsw)+(Iout/Number_of_Phases +Iripple_Vinmax/2)*RCinEsr</f>
        <v>9.3068261643887533E-3</v>
      </c>
      <c r="C153" s="93" t="s">
        <v>39</v>
      </c>
      <c r="I153" s="99"/>
    </row>
    <row r="154" spans="1:11" x14ac:dyDescent="0.2">
      <c r="A154" s="476" t="s">
        <v>578</v>
      </c>
      <c r="B154" s="393">
        <f>Iout/Number_of_Phases*0.5*(1-0.5)/(Cin*Fsw)+(Iout/Number_of_Phases +Iripple_Vinmax/2)*RCinEsr</f>
        <v>1.4549381042739677E-2</v>
      </c>
      <c r="C154" s="93" t="s">
        <v>39</v>
      </c>
      <c r="F154" s="114" t="s">
        <v>579</v>
      </c>
      <c r="I154" s="99"/>
    </row>
    <row r="155" spans="1:11" x14ac:dyDescent="0.2">
      <c r="A155" s="476" t="s">
        <v>222</v>
      </c>
      <c r="B155" s="393">
        <f>IF(VIN_max&lt;2*Vout, B153,B154)</f>
        <v>1.4549381042739677E-2</v>
      </c>
      <c r="C155" s="93" t="s">
        <v>39</v>
      </c>
      <c r="F155" s="114" t="s">
        <v>584</v>
      </c>
      <c r="I155" s="99"/>
    </row>
    <row r="156" spans="1:11" x14ac:dyDescent="0.2">
      <c r="A156" s="100"/>
      <c r="B156" s="533"/>
      <c r="C156" s="93"/>
      <c r="I156" s="99"/>
    </row>
    <row r="157" spans="1:11" ht="13.5" thickBot="1" x14ac:dyDescent="0.25">
      <c r="A157" s="101"/>
      <c r="B157" s="394">
        <f>Iout*D1_Vinmax_2*(1-D1_Vinmax_2)/(Cin*Fsw)</f>
        <v>4.2812546454585997E-3</v>
      </c>
      <c r="C157" s="318" t="s">
        <v>39</v>
      </c>
      <c r="D157" s="102"/>
      <c r="E157" s="103"/>
      <c r="F157" s="103"/>
      <c r="G157" s="103"/>
      <c r="H157" s="103"/>
      <c r="I157" s="104"/>
    </row>
    <row r="159" spans="1:11" ht="16.5" thickBot="1" x14ac:dyDescent="0.3">
      <c r="A159" s="525" t="s">
        <v>583</v>
      </c>
    </row>
    <row r="160" spans="1:11" x14ac:dyDescent="0.2">
      <c r="A160" s="90" t="s">
        <v>150</v>
      </c>
      <c r="B160" s="12">
        <f>'Design Regulator'!E51/1000</f>
        <v>3.0000000000000001E-3</v>
      </c>
      <c r="C160" s="63" t="s">
        <v>133</v>
      </c>
      <c r="D160" s="117" t="s">
        <v>435</v>
      </c>
      <c r="E160" s="63"/>
      <c r="F160" s="63"/>
      <c r="G160" s="63"/>
      <c r="H160" s="63"/>
      <c r="I160" s="64"/>
    </row>
    <row r="161" spans="1:9" x14ac:dyDescent="0.2">
      <c r="A161" s="56" t="s">
        <v>151</v>
      </c>
      <c r="B161" s="68">
        <f>Cout*Vout/Tss</f>
        <v>5.1699999999999992E-3</v>
      </c>
      <c r="C161" t="s">
        <v>1</v>
      </c>
      <c r="D161" s="114" t="s">
        <v>434</v>
      </c>
      <c r="I161" s="57"/>
    </row>
    <row r="162" spans="1:9" x14ac:dyDescent="0.2">
      <c r="A162" s="56" t="s">
        <v>152</v>
      </c>
      <c r="B162" s="425">
        <f>0.00002*Tss/0.6</f>
        <v>1.0000000000000002E-7</v>
      </c>
      <c r="C162" t="s">
        <v>24</v>
      </c>
      <c r="I162" s="57"/>
    </row>
    <row r="163" spans="1:9" ht="13.5" thickBot="1" x14ac:dyDescent="0.25">
      <c r="A163" s="60" t="s">
        <v>164</v>
      </c>
      <c r="B163" s="426">
        <f>'Standard Value Calculator'!B4</f>
        <v>9.9999999999999995E-8</v>
      </c>
      <c r="C163" s="61" t="s">
        <v>24</v>
      </c>
      <c r="D163" s="61"/>
      <c r="E163" s="61"/>
      <c r="F163" s="61"/>
      <c r="G163" s="61"/>
      <c r="H163" s="61"/>
      <c r="I163" s="62"/>
    </row>
    <row r="165" spans="1:9" ht="16.5" thickBot="1" x14ac:dyDescent="0.3">
      <c r="A165" s="525" t="s">
        <v>680</v>
      </c>
    </row>
    <row r="166" spans="1:9" ht="12.75" customHeight="1" x14ac:dyDescent="0.2">
      <c r="A166" s="211" t="s">
        <v>681</v>
      </c>
      <c r="B166" s="591">
        <f>'Design Regulator'!E53/1000</f>
        <v>0.03</v>
      </c>
      <c r="C166" s="63" t="s">
        <v>133</v>
      </c>
      <c r="D166" s="117" t="s">
        <v>686</v>
      </c>
      <c r="E166" s="63"/>
      <c r="F166" s="63"/>
      <c r="G166" s="63"/>
      <c r="H166" s="63"/>
      <c r="I166" s="64"/>
    </row>
    <row r="167" spans="1:9" ht="12.75" customHeight="1" x14ac:dyDescent="0.2">
      <c r="A167" s="212" t="s">
        <v>682</v>
      </c>
      <c r="B167" s="425">
        <f>0.00002*Tres/1.2</f>
        <v>5.0000000000000008E-7</v>
      </c>
      <c r="C167" t="s">
        <v>24</v>
      </c>
      <c r="I167" s="57"/>
    </row>
    <row r="168" spans="1:9" ht="12.75" customHeight="1" x14ac:dyDescent="0.2">
      <c r="A168" s="212" t="s">
        <v>683</v>
      </c>
      <c r="B168" s="592">
        <f>'Standard Value Calculator'!G4</f>
        <v>4.7E-7</v>
      </c>
      <c r="C168" t="s">
        <v>24</v>
      </c>
      <c r="F168" s="45"/>
      <c r="G168" s="44"/>
      <c r="H168" s="44"/>
      <c r="I168" s="57"/>
    </row>
    <row r="169" spans="1:9" ht="12.75" customHeight="1" x14ac:dyDescent="0.2">
      <c r="B169" s="44"/>
      <c r="C169"/>
      <c r="I169" s="57"/>
    </row>
    <row r="170" spans="1:9" ht="12.75" customHeight="1" x14ac:dyDescent="0.3">
      <c r="A170" s="212" t="s">
        <v>685</v>
      </c>
      <c r="B170" s="44">
        <v>100</v>
      </c>
      <c r="C170" s="45" t="s">
        <v>242</v>
      </c>
      <c r="I170" s="57"/>
    </row>
    <row r="171" spans="1:9" ht="12.75" customHeight="1" x14ac:dyDescent="0.3">
      <c r="A171" s="212" t="s">
        <v>690</v>
      </c>
      <c r="B171" s="44"/>
      <c r="C171" s="213" t="s">
        <v>116</v>
      </c>
      <c r="E171" s="114" t="s">
        <v>691</v>
      </c>
      <c r="I171" s="57"/>
    </row>
    <row r="172" spans="1:9" ht="12.75" customHeight="1" x14ac:dyDescent="0.2">
      <c r="A172" s="557" t="s">
        <v>688</v>
      </c>
      <c r="B172" s="44"/>
      <c r="C172" s="213" t="s">
        <v>116</v>
      </c>
      <c r="D172" s="379"/>
      <c r="E172" s="114" t="s">
        <v>689</v>
      </c>
      <c r="I172" s="57"/>
    </row>
    <row r="173" spans="1:9" ht="12.75" customHeight="1" x14ac:dyDescent="0.2">
      <c r="A173" s="557" t="s">
        <v>687</v>
      </c>
      <c r="B173" s="44"/>
      <c r="C173" s="213" t="s">
        <v>116</v>
      </c>
      <c r="D173" s="379"/>
      <c r="E173" s="114" t="s">
        <v>624</v>
      </c>
      <c r="I173" s="57"/>
    </row>
    <row r="174" spans="1:9" ht="12.75" customHeight="1" x14ac:dyDescent="0.2">
      <c r="A174" s="212"/>
      <c r="B174" s="44"/>
      <c r="C174" s="213"/>
      <c r="I174" s="57"/>
    </row>
    <row r="175" spans="1:9" ht="12.75" customHeight="1" x14ac:dyDescent="0.2">
      <c r="A175" s="212" t="s">
        <v>548</v>
      </c>
      <c r="B175" s="392">
        <f>'Design Regulator'!E55*1000</f>
        <v>9000</v>
      </c>
      <c r="C175" s="114" t="s">
        <v>9</v>
      </c>
      <c r="I175" s="57"/>
    </row>
    <row r="176" spans="1:9" ht="12.75" customHeight="1" x14ac:dyDescent="0.2">
      <c r="A176" s="212" t="s">
        <v>324</v>
      </c>
      <c r="B176" s="391">
        <f>10*10^-6/Fdither/0.12</f>
        <v>9.2592592592592591E-9</v>
      </c>
      <c r="C176" s="114" t="s">
        <v>24</v>
      </c>
      <c r="I176" s="57"/>
    </row>
    <row r="177" spans="1:14" ht="12.75" customHeight="1" x14ac:dyDescent="0.2">
      <c r="A177" s="212" t="s">
        <v>325</v>
      </c>
      <c r="B177" s="391">
        <f>'Standard Value Calculator'!O22</f>
        <v>1E-8</v>
      </c>
      <c r="C177" s="114" t="s">
        <v>24</v>
      </c>
      <c r="I177" s="57"/>
    </row>
    <row r="178" spans="1:14" ht="12.75" customHeight="1" thickBot="1" x14ac:dyDescent="0.25">
      <c r="A178" s="60"/>
      <c r="B178" s="70"/>
      <c r="C178" s="295"/>
      <c r="D178" s="61"/>
      <c r="E178" s="61"/>
      <c r="F178" s="61"/>
      <c r="G178" s="61"/>
      <c r="H178" s="61"/>
      <c r="I178" s="62"/>
    </row>
    <row r="179" spans="1:14" x14ac:dyDescent="0.2">
      <c r="B179" s="44"/>
      <c r="C179" s="296"/>
    </row>
    <row r="180" spans="1:14" ht="16.5" thickBot="1" x14ac:dyDescent="0.3">
      <c r="A180" s="525" t="s">
        <v>582</v>
      </c>
    </row>
    <row r="181" spans="1:14" x14ac:dyDescent="0.2">
      <c r="A181" s="374" t="s">
        <v>38</v>
      </c>
      <c r="B181" s="375">
        <v>3.1415926500000002</v>
      </c>
      <c r="C181" s="376"/>
      <c r="D181" s="377" t="s">
        <v>377</v>
      </c>
      <c r="E181" s="63"/>
      <c r="F181" s="63"/>
      <c r="G181" s="63"/>
      <c r="H181" s="63"/>
      <c r="I181" s="64"/>
    </row>
    <row r="182" spans="1:14" x14ac:dyDescent="0.2">
      <c r="A182" s="114" t="s">
        <v>387</v>
      </c>
      <c r="B182" s="114">
        <v>12</v>
      </c>
      <c r="C182" s="46"/>
      <c r="D182" s="213"/>
      <c r="I182" s="57"/>
    </row>
    <row r="183" spans="1:14" x14ac:dyDescent="0.2">
      <c r="A183" s="114" t="s">
        <v>366</v>
      </c>
      <c r="B183">
        <f>Rs*CSAmp_gain</f>
        <v>0.12</v>
      </c>
      <c r="C183" s="213" t="s">
        <v>116</v>
      </c>
      <c r="D183">
        <f>Rs_Ch2*CSAmp_gain</f>
        <v>0.12</v>
      </c>
      <c r="E183" s="213" t="s">
        <v>116</v>
      </c>
      <c r="F183" s="114" t="s">
        <v>382</v>
      </c>
      <c r="I183" s="57"/>
    </row>
    <row r="184" spans="1:14" x14ac:dyDescent="0.2">
      <c r="A184" s="114" t="s">
        <v>347</v>
      </c>
      <c r="B184" s="373">
        <v>1.1999999999999999E-3</v>
      </c>
      <c r="C184" s="114" t="s">
        <v>66</v>
      </c>
      <c r="F184" s="114" t="s">
        <v>367</v>
      </c>
      <c r="I184" s="57"/>
    </row>
    <row r="185" spans="1:14" x14ac:dyDescent="0.2">
      <c r="A185" s="114"/>
      <c r="B185" s="114"/>
      <c r="C185" s="114"/>
      <c r="F185" s="114"/>
      <c r="I185" s="57"/>
    </row>
    <row r="186" spans="1:14" x14ac:dyDescent="0.2">
      <c r="A186" s="114" t="s">
        <v>451</v>
      </c>
      <c r="B186" s="558">
        <f>B190/Ri*1000</f>
        <v>5090909.0909090908</v>
      </c>
      <c r="C186" s="493" t="s">
        <v>368</v>
      </c>
      <c r="D186" s="558">
        <f>B190/Ri_Ch2*1000</f>
        <v>5090909.0909090908</v>
      </c>
      <c r="E186" s="493" t="s">
        <v>368</v>
      </c>
      <c r="F186" s="493" t="s">
        <v>388</v>
      </c>
      <c r="H186" s="4"/>
      <c r="I186" s="57"/>
    </row>
    <row r="187" spans="1:14" x14ac:dyDescent="0.2">
      <c r="A187" s="114" t="s">
        <v>369</v>
      </c>
      <c r="B187" s="558">
        <f>(Vin-Vout)/Lf</f>
        <v>26029411.764705878</v>
      </c>
      <c r="C187" s="493" t="s">
        <v>368</v>
      </c>
      <c r="D187" s="558">
        <f>(Vin-Vout2)/Lo_2</f>
        <v>16000000</v>
      </c>
      <c r="E187" s="493" t="s">
        <v>368</v>
      </c>
      <c r="F187" s="493" t="s">
        <v>370</v>
      </c>
      <c r="H187" s="4"/>
      <c r="I187" s="57"/>
    </row>
    <row r="188" spans="1:14" x14ac:dyDescent="0.2">
      <c r="A188" s="114" t="s">
        <v>386</v>
      </c>
      <c r="B188" s="558">
        <f>Vout/Lf</f>
        <v>4852941.176470588</v>
      </c>
      <c r="C188" s="493" t="s">
        <v>368</v>
      </c>
      <c r="D188" s="558">
        <f>Vout2/Lo_2</f>
        <v>5000000</v>
      </c>
      <c r="E188" s="493" t="s">
        <v>368</v>
      </c>
      <c r="F188" s="493" t="s">
        <v>385</v>
      </c>
      <c r="H188" s="4"/>
      <c r="I188" s="57"/>
    </row>
    <row r="189" spans="1:14" x14ac:dyDescent="0.2">
      <c r="A189" s="114"/>
      <c r="B189" s="378"/>
      <c r="C189" s="362"/>
      <c r="F189" s="362"/>
      <c r="I189" s="57"/>
      <c r="K189" s="114" t="s">
        <v>827</v>
      </c>
      <c r="L189" s="114" t="s">
        <v>846</v>
      </c>
      <c r="M189" s="114" t="s">
        <v>847</v>
      </c>
    </row>
    <row r="190" spans="1:14" x14ac:dyDescent="0.2">
      <c r="A190" s="114" t="s">
        <v>389</v>
      </c>
      <c r="B190" s="386">
        <f>(Fsw/1000)/220*64</f>
        <v>610.90909090909088</v>
      </c>
      <c r="C190" s="387" t="s">
        <v>425</v>
      </c>
      <c r="D190" s="386"/>
      <c r="E190" s="387"/>
      <c r="F190" s="387" t="s">
        <v>397</v>
      </c>
      <c r="I190" s="57"/>
      <c r="K190" s="114">
        <f>Ts</f>
        <v>4.7619047619047617E-7</v>
      </c>
      <c r="L190" s="360">
        <f>Ts*1000000</f>
        <v>0.47619047619047616</v>
      </c>
      <c r="M190">
        <f>B190*L190</f>
        <v>290.90909090909088</v>
      </c>
      <c r="N190" s="114" t="s">
        <v>292</v>
      </c>
    </row>
    <row r="191" spans="1:14" x14ac:dyDescent="0.2">
      <c r="A191" s="114" t="s">
        <v>395</v>
      </c>
      <c r="B191" s="386">
        <f>Sn*Ri/1000</f>
        <v>3123.5294117647049</v>
      </c>
      <c r="C191" s="387" t="s">
        <v>425</v>
      </c>
      <c r="D191" s="386">
        <f>Sn_Ch2*Ri_Ch2/1000</f>
        <v>1920</v>
      </c>
      <c r="E191" s="387" t="s">
        <v>425</v>
      </c>
      <c r="F191" s="387" t="s">
        <v>398</v>
      </c>
      <c r="I191" s="57"/>
    </row>
    <row r="192" spans="1:14" x14ac:dyDescent="0.2">
      <c r="A192" s="114" t="s">
        <v>396</v>
      </c>
      <c r="B192" s="386">
        <f>Sf*Ri/1000</f>
        <v>582.35294117647049</v>
      </c>
      <c r="C192" s="387" t="s">
        <v>425</v>
      </c>
      <c r="D192" s="386">
        <f>Sf_Ch2*Ri_Ch2/1000</f>
        <v>600</v>
      </c>
      <c r="E192" s="387" t="s">
        <v>425</v>
      </c>
      <c r="F192" s="387" t="s">
        <v>398</v>
      </c>
      <c r="I192" s="57"/>
    </row>
    <row r="193" spans="1:9" x14ac:dyDescent="0.2">
      <c r="A193" s="114"/>
      <c r="B193" s="386"/>
      <c r="C193" s="387"/>
      <c r="D193" s="387"/>
      <c r="I193" s="57"/>
    </row>
    <row r="194" spans="1:9" x14ac:dyDescent="0.2">
      <c r="A194" s="114" t="s">
        <v>423</v>
      </c>
      <c r="B194" s="360">
        <f>1+Se_ext/Sn</f>
        <v>1.1955829481253211</v>
      </c>
      <c r="C194"/>
      <c r="D194" s="360">
        <f>1+Se_ext_Ch2/Sn_Ch2</f>
        <v>1.3181818181818181</v>
      </c>
      <c r="F194" s="114" t="s">
        <v>700</v>
      </c>
      <c r="I194" s="57"/>
    </row>
    <row r="195" spans="1:9" x14ac:dyDescent="0.2">
      <c r="A195" s="114" t="s">
        <v>424</v>
      </c>
      <c r="B195" s="380">
        <f>mc_buck*(1-D1_Vinnom_2)</f>
        <v>1.0046533518467526</v>
      </c>
      <c r="C195" s="362"/>
      <c r="D195" s="380">
        <f>mc_buck_Ch2*(1-D2_Vinnom_2)</f>
        <v>0.99601518026565461</v>
      </c>
      <c r="F195" s="362" t="s">
        <v>701</v>
      </c>
      <c r="I195" s="57"/>
    </row>
    <row r="196" spans="1:9" x14ac:dyDescent="0.2">
      <c r="A196" s="2"/>
      <c r="B196" s="395"/>
      <c r="C196" s="362"/>
      <c r="D196" s="362"/>
      <c r="I196" s="57"/>
    </row>
    <row r="197" spans="1:9" x14ac:dyDescent="0.2">
      <c r="A197" s="2" t="s">
        <v>371</v>
      </c>
      <c r="B197" s="380">
        <f>1+Se_ext/Sn</f>
        <v>1.1955829481253211</v>
      </c>
      <c r="C197" s="362"/>
      <c r="D197" s="380">
        <f>1+Se_ext_Ch2/Sn_Ch2</f>
        <v>1.3181818181818181</v>
      </c>
      <c r="I197" s="57"/>
    </row>
    <row r="198" spans="1:9" x14ac:dyDescent="0.2">
      <c r="A198" s="2" t="s">
        <v>346</v>
      </c>
      <c r="B198" s="421">
        <f>mc_buck*(1-D1_Vinnom_2)</f>
        <v>1.0046533518467526</v>
      </c>
      <c r="C198" s="362"/>
      <c r="D198" s="421">
        <f>mc_buck_Ch2*(1-D2_Vinnom_2)</f>
        <v>0.99601518026565461</v>
      </c>
      <c r="I198" s="57"/>
    </row>
    <row r="199" spans="1:9" x14ac:dyDescent="0.2">
      <c r="A199" s="114" t="s">
        <v>27</v>
      </c>
      <c r="B199" s="360">
        <f>1/Pi/(k-0.5)</f>
        <v>0.63074957370772289</v>
      </c>
      <c r="C199"/>
      <c r="D199" s="360">
        <f>1/Pi/(k_Ch2-0.5)</f>
        <v>0.64173416300894881</v>
      </c>
      <c r="F199" s="114" t="s">
        <v>380</v>
      </c>
      <c r="H199" s="114" t="s">
        <v>391</v>
      </c>
      <c r="I199" s="57"/>
    </row>
    <row r="200" spans="1:9" x14ac:dyDescent="0.2">
      <c r="A200" s="114"/>
      <c r="B200" s="360"/>
      <c r="C200"/>
      <c r="D200" s="114"/>
      <c r="F200" s="114"/>
      <c r="I200" s="57"/>
    </row>
    <row r="201" spans="1:9" x14ac:dyDescent="0.2">
      <c r="A201" s="362" t="s">
        <v>426</v>
      </c>
      <c r="B201" s="360"/>
      <c r="C201"/>
      <c r="D201" s="114"/>
      <c r="I201" s="57"/>
    </row>
    <row r="202" spans="1:9" x14ac:dyDescent="0.2">
      <c r="A202" s="114" t="s">
        <v>372</v>
      </c>
      <c r="B202" s="373">
        <v>30</v>
      </c>
      <c r="C202" s="114" t="s">
        <v>181</v>
      </c>
      <c r="F202" s="114" t="s">
        <v>456</v>
      </c>
      <c r="I202" s="57"/>
    </row>
    <row r="203" spans="1:9" x14ac:dyDescent="0.2">
      <c r="A203" s="114" t="s">
        <v>373</v>
      </c>
      <c r="B203" s="663">
        <f>gm/(2*Pi*GBW*1000000)</f>
        <v>6.3661977309502546E-12</v>
      </c>
      <c r="C203" s="114" t="s">
        <v>24</v>
      </c>
      <c r="F203" s="114" t="s">
        <v>455</v>
      </c>
      <c r="I203" s="57"/>
    </row>
    <row r="204" spans="1:9" x14ac:dyDescent="0.2">
      <c r="A204" s="114" t="s">
        <v>374</v>
      </c>
      <c r="B204" s="596">
        <v>64000000</v>
      </c>
      <c r="C204" s="213" t="s">
        <v>116</v>
      </c>
      <c r="F204" s="114" t="s">
        <v>454</v>
      </c>
      <c r="I204" s="57"/>
    </row>
    <row r="205" spans="1:9" x14ac:dyDescent="0.2">
      <c r="A205" s="2" t="s">
        <v>375</v>
      </c>
      <c r="B205" s="309">
        <f>gm*RoEA</f>
        <v>76800</v>
      </c>
      <c r="C205" s="114" t="s">
        <v>28</v>
      </c>
      <c r="F205" s="114" t="s">
        <v>453</v>
      </c>
      <c r="I205" s="57"/>
    </row>
    <row r="206" spans="1:9" x14ac:dyDescent="0.2">
      <c r="A206" s="2" t="s">
        <v>376</v>
      </c>
      <c r="B206" s="4">
        <f>Vref/Vout</f>
        <v>0.18181818181818182</v>
      </c>
      <c r="C206" s="114" t="s">
        <v>28</v>
      </c>
      <c r="D206" s="4">
        <f>Vref/Vout2</f>
        <v>0.12</v>
      </c>
      <c r="E206" s="114" t="s">
        <v>28</v>
      </c>
      <c r="F206" s="114" t="s">
        <v>452</v>
      </c>
      <c r="I206" s="57"/>
    </row>
    <row r="207" spans="1:9" x14ac:dyDescent="0.2">
      <c r="A207" s="2" t="s">
        <v>331</v>
      </c>
      <c r="B207" s="395">
        <f>1/Ri</f>
        <v>8.3333333333333339</v>
      </c>
      <c r="C207" s="114"/>
      <c r="D207" s="395">
        <f>1/Ri_Ch2</f>
        <v>8.3333333333333339</v>
      </c>
      <c r="E207" s="114"/>
      <c r="F207" s="114" t="s">
        <v>381</v>
      </c>
      <c r="I207" s="57"/>
    </row>
    <row r="208" spans="1:9" x14ac:dyDescent="0.2">
      <c r="A208" s="2" t="s">
        <v>417</v>
      </c>
      <c r="B208" s="4">
        <f>(Ro/Number_of_Phases)/Ri/((1+Ro/Number_of_Phases*(k-0.5)/(Fsw*Lf)))</f>
        <v>5.3230452312173036</v>
      </c>
      <c r="C208" s="4"/>
      <c r="D208" s="4">
        <f>Ro_Ch2/Ri_Ch2/((1+Ro_Ch2*(k_Ch2-0.5)/(Fsw*Lo_2)))</f>
        <v>4.5383638761490461</v>
      </c>
      <c r="I208" s="57"/>
    </row>
    <row r="209" spans="1:9" x14ac:dyDescent="0.2">
      <c r="A209" s="2" t="s">
        <v>336</v>
      </c>
      <c r="B209" s="4">
        <f>(Ro*Number_of_Phases)/Ri/((1+Ro*Number_of_Phases*(k-0.5)/(Fsw*Lf)))</f>
        <v>5.3230452312173036</v>
      </c>
      <c r="C209" s="4"/>
      <c r="D209" s="4">
        <f>Ro_Ch2/Ri_Ch2/((1+Ro_Ch2*(k_Ch2-0.5)/(Fsw*Lo_2)))</f>
        <v>4.5383638761490461</v>
      </c>
      <c r="F209" s="362" t="s">
        <v>798</v>
      </c>
      <c r="I209" s="57"/>
    </row>
    <row r="210" spans="1:9" x14ac:dyDescent="0.2">
      <c r="A210" s="2"/>
      <c r="B210" s="4"/>
      <c r="C210"/>
      <c r="D210" s="362"/>
      <c r="I210" s="57"/>
    </row>
    <row r="211" spans="1:9" x14ac:dyDescent="0.2">
      <c r="A211" s="114" t="s">
        <v>799</v>
      </c>
      <c r="B211" s="4">
        <f>2*Pi*Ri/gm</f>
        <v>628.31853000000012</v>
      </c>
      <c r="C211"/>
      <c r="F211" s="114" t="s">
        <v>457</v>
      </c>
      <c r="I211" s="57"/>
    </row>
    <row r="212" spans="1:9" x14ac:dyDescent="0.2">
      <c r="A212" s="362" t="s">
        <v>418</v>
      </c>
      <c r="B212" s="4"/>
      <c r="C212"/>
      <c r="F212" s="114"/>
      <c r="I212" s="57"/>
    </row>
    <row r="213" spans="1:9" x14ac:dyDescent="0.2">
      <c r="A213" s="362"/>
      <c r="B213" s="4"/>
      <c r="C213"/>
      <c r="F213" s="114"/>
      <c r="I213" s="57"/>
    </row>
    <row r="214" spans="1:9" x14ac:dyDescent="0.2">
      <c r="A214" s="212" t="s">
        <v>42</v>
      </c>
      <c r="B214" s="395">
        <f>Rout</f>
        <v>0.82499999999999996</v>
      </c>
      <c r="C214" s="213" t="s">
        <v>116</v>
      </c>
      <c r="D214" s="360">
        <f>Rout2</f>
        <v>0.625</v>
      </c>
      <c r="E214" s="213" t="s">
        <v>116</v>
      </c>
      <c r="F214" s="114" t="s">
        <v>271</v>
      </c>
      <c r="I214" s="57"/>
    </row>
    <row r="215" spans="1:9" x14ac:dyDescent="0.2">
      <c r="A215" s="114"/>
      <c r="B215" s="114"/>
      <c r="C215" s="213"/>
      <c r="D215" s="114"/>
      <c r="I215" s="57"/>
    </row>
    <row r="216" spans="1:9" x14ac:dyDescent="0.2">
      <c r="A216" s="114" t="s">
        <v>412</v>
      </c>
      <c r="B216" s="385">
        <f>1/(2*Pi*Ro*Cout)+(k-0.5)/(2*Pi*Fsw*Lf*Cout/Number_of_Phases)</f>
        <v>53012.815686534734</v>
      </c>
      <c r="C216" t="s">
        <v>9</v>
      </c>
      <c r="D216" s="385">
        <f>1/(2*Pi*Ro_Ch2*Cout2)+(k_Ch2-0.5)/(2*Pi*Fsw*Lo_2*Cout2)</f>
        <v>62178.710970407672</v>
      </c>
      <c r="E216" t="s">
        <v>9</v>
      </c>
      <c r="F216" s="114" t="s">
        <v>411</v>
      </c>
      <c r="I216" s="57"/>
    </row>
    <row r="217" spans="1:9" x14ac:dyDescent="0.2">
      <c r="A217" s="114" t="s">
        <v>444</v>
      </c>
      <c r="B217" s="371">
        <f>Fload_u</f>
        <v>53012.815686534734</v>
      </c>
      <c r="C217" s="114" t="s">
        <v>9</v>
      </c>
      <c r="D217" s="371">
        <f>Fload_u_Ch2</f>
        <v>62178.710970407672</v>
      </c>
      <c r="E217" s="114" t="s">
        <v>9</v>
      </c>
      <c r="F217" s="378"/>
      <c r="I217" s="57"/>
    </row>
    <row r="218" spans="1:9" x14ac:dyDescent="0.2">
      <c r="A218" s="114"/>
      <c r="B218" s="370">
        <f>Cbw</f>
        <v>6.3661977309502546E-12</v>
      </c>
      <c r="C218"/>
      <c r="D218" s="114"/>
      <c r="E218" s="46"/>
      <c r="I218" s="57"/>
    </row>
    <row r="219" spans="1:9" x14ac:dyDescent="0.2">
      <c r="A219" s="114" t="s">
        <v>383</v>
      </c>
      <c r="B219" s="581">
        <f>1/(2*Pi*(RoEA+Rcea1_u)*Cc1ea_u)</f>
        <v>9.2102150577479364E-2</v>
      </c>
      <c r="C219" t="s">
        <v>9</v>
      </c>
      <c r="D219" s="435">
        <f>1/(2*Pi*(RoEA+Rcea2_u)*Cc3ea_u)</f>
        <v>0.13815215952049953</v>
      </c>
      <c r="E219" t="s">
        <v>9</v>
      </c>
      <c r="F219" s="114" t="s">
        <v>410</v>
      </c>
      <c r="I219" s="57"/>
    </row>
    <row r="220" spans="1:9" x14ac:dyDescent="0.2">
      <c r="A220" s="114" t="s">
        <v>384</v>
      </c>
      <c r="B220" s="385">
        <f>1/(2*Pi*Rcea1_u*(Cc2ea_u+Cbw))</f>
        <v>1042863.4307551206</v>
      </c>
      <c r="C220" t="s">
        <v>9</v>
      </c>
      <c r="D220" s="385">
        <f>1/(2*Pi*Rcea2_u*(Cc4ea_u+Cbw))</f>
        <v>1017886.0502993048</v>
      </c>
      <c r="E220" t="s">
        <v>9</v>
      </c>
      <c r="F220" s="114" t="s">
        <v>392</v>
      </c>
      <c r="I220" s="57"/>
    </row>
    <row r="221" spans="1:9" x14ac:dyDescent="0.2">
      <c r="A221" s="212" t="s">
        <v>26</v>
      </c>
      <c r="B221" s="385">
        <f>1/(2*Pi*Cout*Cout_ESR)</f>
        <v>16931376.944016635</v>
      </c>
      <c r="C221" t="s">
        <v>9</v>
      </c>
      <c r="D221" s="385">
        <f>1/(2*Pi*Cout2*Cout2_ESR)</f>
        <v>16931376.944016635</v>
      </c>
      <c r="E221" t="s">
        <v>9</v>
      </c>
      <c r="F221" s="114" t="s">
        <v>409</v>
      </c>
      <c r="I221" s="57"/>
    </row>
    <row r="222" spans="1:9" x14ac:dyDescent="0.2">
      <c r="A222" s="114" t="s">
        <v>416</v>
      </c>
      <c r="B222" s="385">
        <f>Fsw/2</f>
        <v>1050000</v>
      </c>
      <c r="C222" t="s">
        <v>9</v>
      </c>
      <c r="D222" s="371"/>
      <c r="F222" s="114" t="s">
        <v>776</v>
      </c>
      <c r="I222" s="57"/>
    </row>
    <row r="223" spans="1:9" x14ac:dyDescent="0.2">
      <c r="A223" s="114"/>
      <c r="B223" s="371"/>
      <c r="C223"/>
      <c r="D223" s="114"/>
      <c r="E223" s="46"/>
      <c r="I223" s="57"/>
    </row>
    <row r="224" spans="1:9" x14ac:dyDescent="0.2">
      <c r="A224" s="212" t="s">
        <v>408</v>
      </c>
      <c r="B224" s="317">
        <f>'Design Regulator'!E63*1000</f>
        <v>60000</v>
      </c>
      <c r="C224" s="370" t="s">
        <v>9</v>
      </c>
      <c r="D224" s="317">
        <f>'Design Regulator'!J63*1000</f>
        <v>60000</v>
      </c>
      <c r="E224" s="370" t="s">
        <v>9</v>
      </c>
      <c r="I224" s="57"/>
    </row>
    <row r="225" spans="1:12" x14ac:dyDescent="0.2">
      <c r="A225" s="66" t="s">
        <v>33</v>
      </c>
      <c r="B225" s="371">
        <f>Fcross*Cout/Number_of_Phases*2*Pi*Ri/(gm*Afb)</f>
        <v>974.52204003000008</v>
      </c>
      <c r="C225" s="213" t="s">
        <v>116</v>
      </c>
      <c r="D225" s="371">
        <f>Fcross_Ch2*Cout2*2*Pi*Ri_Ch2/(gm*Afb_Ch2)</f>
        <v>1476.5485455</v>
      </c>
      <c r="E225" s="213" t="s">
        <v>116</v>
      </c>
      <c r="F225" s="114" t="s">
        <v>378</v>
      </c>
      <c r="I225" s="57"/>
      <c r="K225" s="309"/>
      <c r="L225" s="213"/>
    </row>
    <row r="226" spans="1:12" x14ac:dyDescent="0.2">
      <c r="A226" s="66" t="s">
        <v>729</v>
      </c>
      <c r="B226" s="370">
        <f>10/(Rcea1*Fcross*2*Pi)</f>
        <v>2.7219316536076302E-8</v>
      </c>
      <c r="C226" t="s">
        <v>24</v>
      </c>
      <c r="D226" s="370">
        <f>10/(Rcea2*Fcross_Ch2*2*Pi)</f>
        <v>1.7964748913810363E-8</v>
      </c>
      <c r="E226" t="s">
        <v>24</v>
      </c>
      <c r="F226" s="114" t="s">
        <v>703</v>
      </c>
      <c r="I226" s="57"/>
    </row>
    <row r="227" spans="1:12" x14ac:dyDescent="0.2">
      <c r="A227" s="66" t="s">
        <v>730</v>
      </c>
      <c r="B227" s="370">
        <f>MAX(1/(Rcea1*2*Pi*Fesr)-Cbw, 1/(Rcea1*2*Pi*(Fsw/2))-Cbw)</f>
        <v>1.4917275390377148E-10</v>
      </c>
      <c r="C227" t="s">
        <v>24</v>
      </c>
      <c r="D227" s="370">
        <f>MAX(1/(Rcea2*2*Pi*Fesr_Ch2)-Cbw, 1/(Rcea2*2*Pi*(Fsw/2))-Cbw)</f>
        <v>9.62895103479661E-11</v>
      </c>
      <c r="E227" t="s">
        <v>24</v>
      </c>
      <c r="F227" s="114" t="s">
        <v>379</v>
      </c>
      <c r="I227" s="57"/>
    </row>
    <row r="228" spans="1:12" x14ac:dyDescent="0.2">
      <c r="A228" s="65"/>
      <c r="B228" s="1"/>
      <c r="C228" s="213"/>
      <c r="I228" s="57"/>
    </row>
    <row r="229" spans="1:12" x14ac:dyDescent="0.2">
      <c r="A229" s="66" t="s">
        <v>327</v>
      </c>
      <c r="I229" s="57"/>
    </row>
    <row r="230" spans="1:12" x14ac:dyDescent="0.2">
      <c r="A230" s="56" t="s">
        <v>34</v>
      </c>
      <c r="B230" s="69">
        <f>'Design Regulator'!D70*1000</f>
        <v>976</v>
      </c>
      <c r="C230" s="213" t="s">
        <v>116</v>
      </c>
      <c r="D230" s="69">
        <f>'Design Regulator'!D73*1000</f>
        <v>1470</v>
      </c>
      <c r="E230" s="213" t="s">
        <v>116</v>
      </c>
      <c r="F230">
        <f>1/(Rcea1*2*Pi*(Fsw/2))-Cbw</f>
        <v>1.4917275390377148E-10</v>
      </c>
      <c r="I230" s="57"/>
    </row>
    <row r="231" spans="1:12" x14ac:dyDescent="0.2">
      <c r="A231" s="56" t="s">
        <v>35</v>
      </c>
      <c r="B231" s="69">
        <f>'Design Regulator'!D71*0.000000001</f>
        <v>2.7E-8</v>
      </c>
      <c r="C231" t="s">
        <v>24</v>
      </c>
      <c r="D231" s="69">
        <f>'Design Regulator'!D74*0.000000001</f>
        <v>1.8000000000000002E-8</v>
      </c>
      <c r="E231" t="s">
        <v>24</v>
      </c>
      <c r="I231" s="57"/>
    </row>
    <row r="232" spans="1:12" x14ac:dyDescent="0.2">
      <c r="A232" s="56" t="s">
        <v>36</v>
      </c>
      <c r="B232" s="69">
        <f>'Design Regulator'!D72*0.000000000001</f>
        <v>1.5E-10</v>
      </c>
      <c r="C232" t="s">
        <v>24</v>
      </c>
      <c r="D232" s="69">
        <f>'Design Regulator'!D75*0.000000000001</f>
        <v>1E-10</v>
      </c>
      <c r="E232" t="s">
        <v>24</v>
      </c>
      <c r="I232" s="57"/>
    </row>
    <row r="233" spans="1:12" x14ac:dyDescent="0.2">
      <c r="A233" s="56"/>
      <c r="B233" s="48"/>
      <c r="C233"/>
      <c r="I233" s="57"/>
    </row>
    <row r="234" spans="1:12" x14ac:dyDescent="0.2">
      <c r="A234" s="66" t="s">
        <v>394</v>
      </c>
      <c r="C234"/>
      <c r="F234">
        <f>Cout</f>
        <v>4.6999999999999999E-6</v>
      </c>
      <c r="G234">
        <f>Cout_ESR</f>
        <v>2E-3</v>
      </c>
      <c r="I234" s="57"/>
    </row>
    <row r="235" spans="1:12" x14ac:dyDescent="0.2">
      <c r="A235" s="66" t="s">
        <v>37</v>
      </c>
      <c r="B235" s="372">
        <f>1/(2*Pi*Rcea1_u*Cc1ea_u)</f>
        <v>6039.577385919717</v>
      </c>
      <c r="C235" t="s">
        <v>9</v>
      </c>
      <c r="D235" s="372">
        <f>1/(2*Pi*Rcea2_u*Cc3ea_u)</f>
        <v>6014.9260496506558</v>
      </c>
      <c r="E235" t="s">
        <v>9</v>
      </c>
      <c r="F235" s="114" t="s">
        <v>449</v>
      </c>
      <c r="I235" s="57"/>
    </row>
    <row r="236" spans="1:12" x14ac:dyDescent="0.2">
      <c r="A236" s="66" t="s">
        <v>811</v>
      </c>
      <c r="B236" s="372">
        <f>1/(2*Pi*Rcea1_u*(Cc1ea_u*(Cc2ea_u+Cbw)/(Cc1ea_u+Cc2ea_u+Cbw)))</f>
        <v>1048903.0081410403</v>
      </c>
      <c r="C236" t="s">
        <v>9</v>
      </c>
      <c r="D236" s="372">
        <f>1/(2*Pi*Rcea2_u*(Cc3ea_u*(Cc4ea_u+Cbw)/(Cc3ea_u+Cc4ea_u+Cbw)))</f>
        <v>1023900.9763489552</v>
      </c>
      <c r="E236" t="s">
        <v>9</v>
      </c>
      <c r="F236" t="s">
        <v>132</v>
      </c>
      <c r="I236" s="57"/>
    </row>
    <row r="237" spans="1:12" x14ac:dyDescent="0.2">
      <c r="C237"/>
      <c r="I237" s="57"/>
    </row>
    <row r="238" spans="1:12" x14ac:dyDescent="0.2">
      <c r="A238" s="56" t="s">
        <v>29</v>
      </c>
      <c r="B238" s="317">
        <f>'Design Regulator'!E65*1000</f>
        <v>10000</v>
      </c>
      <c r="C238" s="213" t="s">
        <v>116</v>
      </c>
      <c r="D238" s="317">
        <f>'Design Regulator'!J65*1000</f>
        <v>10000</v>
      </c>
      <c r="E238" s="213" t="s">
        <v>116</v>
      </c>
      <c r="F238" s="114" t="s">
        <v>402</v>
      </c>
      <c r="I238" s="57"/>
    </row>
    <row r="239" spans="1:12" x14ac:dyDescent="0.2">
      <c r="A239" s="66" t="s">
        <v>40</v>
      </c>
      <c r="B239" s="361">
        <f>IF(Vout=Vref,100000000,Vref*B238/((Vout-Vref)))</f>
        <v>2222.2222222222226</v>
      </c>
      <c r="C239" s="213" t="s">
        <v>116</v>
      </c>
      <c r="D239" s="361">
        <f>IF(Vout2=Vref,100000000,Vref*D238/((Vout2-Vref)))</f>
        <v>1363.6363636363635</v>
      </c>
      <c r="E239" s="213" t="s">
        <v>116</v>
      </c>
      <c r="F239" s="114" t="s">
        <v>401</v>
      </c>
      <c r="I239" s="57"/>
    </row>
    <row r="240" spans="1:12" x14ac:dyDescent="0.2">
      <c r="A240" s="56" t="s">
        <v>136</v>
      </c>
      <c r="B240" s="68">
        <f>IF(Vout=Vref,"N/A",'Standard Value Calculator'!O11)</f>
        <v>2210</v>
      </c>
      <c r="C240" s="213" t="s">
        <v>116</v>
      </c>
      <c r="D240" s="68">
        <f>IF(Vout2=Vref,"N/A",'Standard Value Calculator'!O13)</f>
        <v>1370</v>
      </c>
      <c r="E240" s="213" t="s">
        <v>116</v>
      </c>
      <c r="F240" s="114" t="s">
        <v>400</v>
      </c>
      <c r="I240" s="57"/>
    </row>
    <row r="241" spans="1:9" ht="13.5" thickBot="1" x14ac:dyDescent="0.25">
      <c r="A241" s="384"/>
      <c r="B241" s="384"/>
      <c r="C241" s="71"/>
      <c r="D241" s="61"/>
      <c r="E241" s="71"/>
      <c r="F241" s="61"/>
      <c r="G241" s="61"/>
      <c r="H241" s="61"/>
      <c r="I241" s="62"/>
    </row>
    <row r="242" spans="1:9" x14ac:dyDescent="0.2">
      <c r="A242" s="1"/>
      <c r="B242" s="46"/>
      <c r="C242" s="46"/>
      <c r="E242" s="46"/>
    </row>
    <row r="243" spans="1:9" x14ac:dyDescent="0.2">
      <c r="A243" s="66" t="s">
        <v>172</v>
      </c>
      <c r="B243" s="1"/>
      <c r="C243"/>
    </row>
    <row r="244" spans="1:9" x14ac:dyDescent="0.2">
      <c r="A244" s="66" t="s">
        <v>173</v>
      </c>
      <c r="B244" s="2">
        <v>0</v>
      </c>
      <c r="C244" s="213" t="s">
        <v>116</v>
      </c>
      <c r="D244" s="114" t="s">
        <v>270</v>
      </c>
    </row>
    <row r="245" spans="1:9" x14ac:dyDescent="0.2">
      <c r="A245" s="66" t="s">
        <v>176</v>
      </c>
      <c r="B245" s="382" t="e">
        <f>0.00000002*Fsw*0.6*4/Iripple1</f>
        <v>#NAME?</v>
      </c>
      <c r="C245" s="46"/>
      <c r="E245" s="46"/>
    </row>
    <row r="246" spans="1:9" x14ac:dyDescent="0.2">
      <c r="A246" s="66" t="s">
        <v>175</v>
      </c>
      <c r="B246" s="382" t="e">
        <f>_Don2*RdsonTop+Doff2*RdsonBot</f>
        <v>#NAME?</v>
      </c>
      <c r="C246" s="46"/>
      <c r="E246" s="46"/>
    </row>
    <row r="247" spans="1:9" x14ac:dyDescent="0.2">
      <c r="A247" s="66" t="s">
        <v>174</v>
      </c>
      <c r="B247" s="382" t="e">
        <f>B248*Vin^2*Fsw/2/(((Iripple1/SQRT(3))^2))</f>
        <v>#NAME?</v>
      </c>
      <c r="C247" s="46"/>
      <c r="E247" s="46"/>
    </row>
    <row r="248" spans="1:9" x14ac:dyDescent="0.2">
      <c r="A248" s="66" t="s">
        <v>177</v>
      </c>
      <c r="B248" s="383">
        <v>5.0000000000000001E-9</v>
      </c>
      <c r="C248" s="46"/>
      <c r="E248" s="46"/>
    </row>
    <row r="249" spans="1:9" x14ac:dyDescent="0.2">
      <c r="A249" s="1"/>
      <c r="B249" s="46"/>
      <c r="C249" s="46"/>
      <c r="E249" s="46"/>
    </row>
    <row r="250" spans="1:9" ht="16.5" thickBot="1" x14ac:dyDescent="0.3">
      <c r="A250" s="92" t="s">
        <v>193</v>
      </c>
    </row>
    <row r="251" spans="1:9" x14ac:dyDescent="0.2">
      <c r="A251" s="211" t="s">
        <v>615</v>
      </c>
      <c r="B251" s="63">
        <v>0</v>
      </c>
      <c r="C251" s="297"/>
      <c r="D251" s="63"/>
      <c r="E251" s="63"/>
      <c r="F251" s="63"/>
      <c r="G251" s="63"/>
      <c r="H251" s="63"/>
      <c r="I251" s="64"/>
    </row>
    <row r="252" spans="1:9" x14ac:dyDescent="0.2">
      <c r="A252" s="66" t="s">
        <v>55</v>
      </c>
      <c r="I252" s="57"/>
    </row>
    <row r="253" spans="1:9" x14ac:dyDescent="0.2">
      <c r="A253" s="56" t="s">
        <v>83</v>
      </c>
      <c r="B253" s="29">
        <f>'Design Regulator'!E14</f>
        <v>25</v>
      </c>
      <c r="C253" s="114" t="s">
        <v>226</v>
      </c>
      <c r="D253" t="s">
        <v>96</v>
      </c>
      <c r="I253" s="57"/>
    </row>
    <row r="254" spans="1:9" x14ac:dyDescent="0.2">
      <c r="A254" s="66" t="s">
        <v>58</v>
      </c>
      <c r="C254"/>
      <c r="I254" s="57"/>
    </row>
    <row r="255" spans="1:9" x14ac:dyDescent="0.2">
      <c r="A255" s="56" t="s">
        <v>82</v>
      </c>
      <c r="B255" s="59">
        <f>4000/1000000</f>
        <v>4.0000000000000001E-3</v>
      </c>
      <c r="C255" s="114" t="s">
        <v>279</v>
      </c>
      <c r="D255" s="114" t="s">
        <v>481</v>
      </c>
      <c r="I255" s="57"/>
    </row>
    <row r="256" spans="1:9" ht="15.75" x14ac:dyDescent="0.3">
      <c r="A256" s="212" t="s">
        <v>478</v>
      </c>
      <c r="B256" s="59">
        <v>20</v>
      </c>
      <c r="C256" s="114" t="s">
        <v>205</v>
      </c>
      <c r="D256" s="114" t="s">
        <v>479</v>
      </c>
      <c r="I256" s="57"/>
    </row>
    <row r="257" spans="1:9" x14ac:dyDescent="0.2">
      <c r="A257" s="56" t="s">
        <v>86</v>
      </c>
      <c r="B257" s="29">
        <f>RCinEsr</f>
        <v>1E-3</v>
      </c>
      <c r="C257" s="213" t="s">
        <v>116</v>
      </c>
      <c r="D257" s="114" t="s">
        <v>480</v>
      </c>
      <c r="I257" s="57"/>
    </row>
    <row r="258" spans="1:9" x14ac:dyDescent="0.2">
      <c r="A258" s="56"/>
      <c r="B258" s="29"/>
      <c r="C258" s="213"/>
      <c r="D258" s="114"/>
      <c r="I258" s="57"/>
    </row>
    <row r="259" spans="1:9" x14ac:dyDescent="0.2">
      <c r="A259" s="65" t="s">
        <v>742</v>
      </c>
      <c r="C259"/>
      <c r="I259" s="57"/>
    </row>
    <row r="260" spans="1:9" x14ac:dyDescent="0.2">
      <c r="A260" s="212" t="s">
        <v>699</v>
      </c>
      <c r="B260" s="59">
        <v>5</v>
      </c>
      <c r="C260" t="s">
        <v>0</v>
      </c>
      <c r="D260" s="362" t="s">
        <v>740</v>
      </c>
      <c r="I260" s="57"/>
    </row>
    <row r="261" spans="1:9" x14ac:dyDescent="0.2">
      <c r="A261" s="66" t="s">
        <v>112</v>
      </c>
      <c r="C261"/>
      <c r="I261" s="57"/>
    </row>
    <row r="262" spans="1:9" x14ac:dyDescent="0.2">
      <c r="A262" s="56" t="s">
        <v>61</v>
      </c>
      <c r="B262" s="59">
        <v>1</v>
      </c>
      <c r="C262" s="213" t="s">
        <v>116</v>
      </c>
      <c r="D262" s="114" t="s">
        <v>403</v>
      </c>
      <c r="I262" s="57"/>
    </row>
    <row r="263" spans="1:9" x14ac:dyDescent="0.2">
      <c r="A263" s="56" t="s">
        <v>126</v>
      </c>
      <c r="B263" s="59">
        <v>0.5</v>
      </c>
      <c r="C263" s="213" t="s">
        <v>116</v>
      </c>
      <c r="D263" s="114" t="s">
        <v>404</v>
      </c>
      <c r="I263" s="57"/>
    </row>
    <row r="264" spans="1:9" x14ac:dyDescent="0.2">
      <c r="A264" s="66" t="s">
        <v>113</v>
      </c>
      <c r="C264"/>
      <c r="I264" s="57"/>
    </row>
    <row r="265" spans="1:9" x14ac:dyDescent="0.2">
      <c r="A265" s="56" t="s">
        <v>60</v>
      </c>
      <c r="B265" s="106">
        <v>1</v>
      </c>
      <c r="C265" s="213" t="s">
        <v>116</v>
      </c>
      <c r="D265" s="114" t="s">
        <v>405</v>
      </c>
      <c r="I265" s="57"/>
    </row>
    <row r="266" spans="1:9" x14ac:dyDescent="0.2">
      <c r="A266" s="56" t="s">
        <v>125</v>
      </c>
      <c r="B266" s="59">
        <v>0.5</v>
      </c>
      <c r="C266" s="213" t="s">
        <v>116</v>
      </c>
      <c r="D266" s="114" t="s">
        <v>406</v>
      </c>
      <c r="I266" s="57"/>
    </row>
    <row r="267" spans="1:9" x14ac:dyDescent="0.2">
      <c r="A267" s="66" t="s">
        <v>62</v>
      </c>
      <c r="C267"/>
      <c r="I267" s="57"/>
    </row>
    <row r="268" spans="1:9" x14ac:dyDescent="0.2">
      <c r="A268" s="56" t="s">
        <v>62</v>
      </c>
      <c r="B268" s="67">
        <v>1.4E-8</v>
      </c>
      <c r="C268" t="s">
        <v>133</v>
      </c>
      <c r="D268" t="s">
        <v>98</v>
      </c>
      <c r="G268" s="362" t="s">
        <v>845</v>
      </c>
      <c r="I268" s="57"/>
    </row>
    <row r="269" spans="1:9" x14ac:dyDescent="0.2">
      <c r="A269" s="66" t="s">
        <v>52</v>
      </c>
      <c r="C269"/>
      <c r="I269" s="57"/>
    </row>
    <row r="270" spans="1:9" x14ac:dyDescent="0.2">
      <c r="A270" s="56" t="s">
        <v>128</v>
      </c>
      <c r="B270" s="59">
        <v>3.4999999999999997E-5</v>
      </c>
      <c r="C270" t="s">
        <v>1</v>
      </c>
      <c r="D270" s="114" t="s">
        <v>741</v>
      </c>
      <c r="I270" s="57"/>
    </row>
    <row r="271" spans="1:9" x14ac:dyDescent="0.2">
      <c r="A271" s="56"/>
      <c r="C271"/>
      <c r="I271" s="57"/>
    </row>
    <row r="272" spans="1:9" x14ac:dyDescent="0.2">
      <c r="A272" s="66" t="s">
        <v>738</v>
      </c>
      <c r="B272" s="2" t="s">
        <v>531</v>
      </c>
      <c r="C272"/>
      <c r="D272" s="2" t="s">
        <v>532</v>
      </c>
      <c r="I272" s="57"/>
    </row>
    <row r="273" spans="1:9" x14ac:dyDescent="0.2">
      <c r="A273" s="212" t="s">
        <v>533</v>
      </c>
      <c r="B273" s="29">
        <f>'Design Regulator'!E83/1000</f>
        <v>6.0000000000000001E-3</v>
      </c>
      <c r="C273" s="213" t="s">
        <v>116</v>
      </c>
      <c r="D273" s="29">
        <f>'Design Regulator'!F83/1000</f>
        <v>2.5000000000000001E-3</v>
      </c>
      <c r="E273" s="213" t="s">
        <v>116</v>
      </c>
      <c r="F273" s="114" t="s">
        <v>744</v>
      </c>
      <c r="I273" s="57"/>
    </row>
    <row r="274" spans="1:9" x14ac:dyDescent="0.2">
      <c r="A274" s="56" t="s">
        <v>79</v>
      </c>
      <c r="B274" s="59">
        <f>4000/1000000</f>
        <v>4.0000000000000001E-3</v>
      </c>
      <c r="C274" s="114" t="s">
        <v>279</v>
      </c>
      <c r="E274" s="114"/>
      <c r="F274" s="114" t="s">
        <v>407</v>
      </c>
      <c r="I274" s="57"/>
    </row>
    <row r="275" spans="1:9" x14ac:dyDescent="0.2">
      <c r="A275" s="212" t="s">
        <v>122</v>
      </c>
      <c r="B275" s="72">
        <f>'Design Regulator'!E84/1000000000</f>
        <v>8.0000000000000005E-9</v>
      </c>
      <c r="C275" t="s">
        <v>134</v>
      </c>
      <c r="D275" s="72">
        <f>'Design Regulator'!F84/1000000000</f>
        <v>2.4999999999999999E-8</v>
      </c>
      <c r="E275" t="s">
        <v>134</v>
      </c>
      <c r="F275" s="114" t="s">
        <v>743</v>
      </c>
      <c r="I275" s="57"/>
    </row>
    <row r="276" spans="1:9" x14ac:dyDescent="0.2">
      <c r="A276" s="212" t="s">
        <v>534</v>
      </c>
      <c r="B276" s="72">
        <f>'Design Regulator'!E85/1000000000</f>
        <v>1.3999999999999999E-9</v>
      </c>
      <c r="C276" t="s">
        <v>134</v>
      </c>
      <c r="D276" s="72">
        <f>'Design Regulator'!F85/1000000000</f>
        <v>4.4999999999999998E-9</v>
      </c>
      <c r="E276" t="s">
        <v>134</v>
      </c>
      <c r="F276" t="s">
        <v>121</v>
      </c>
      <c r="I276" s="57"/>
    </row>
    <row r="277" spans="1:9" x14ac:dyDescent="0.2">
      <c r="A277" s="212" t="s">
        <v>535</v>
      </c>
      <c r="B277" s="72">
        <f>'Design Regulator'!E86/1000000000</f>
        <v>3.8000000000000001E-9</v>
      </c>
      <c r="C277" t="s">
        <v>134</v>
      </c>
      <c r="D277" s="72">
        <f>'Design Regulator'!F86/1000000000</f>
        <v>1.2E-8</v>
      </c>
      <c r="E277" t="s">
        <v>134</v>
      </c>
      <c r="F277" t="s">
        <v>826</v>
      </c>
      <c r="I277" s="57"/>
    </row>
    <row r="278" spans="1:9" x14ac:dyDescent="0.2">
      <c r="A278" s="643" t="s">
        <v>822</v>
      </c>
      <c r="B278" s="72">
        <f>'Design Regulator'!E87/1000000000</f>
        <v>0</v>
      </c>
      <c r="C278" t="s">
        <v>134</v>
      </c>
      <c r="D278" s="72">
        <f>'Design Regulator'!F87/1000000000</f>
        <v>2.9999999999999997E-8</v>
      </c>
      <c r="E278" t="s">
        <v>134</v>
      </c>
      <c r="F278" s="114" t="s">
        <v>824</v>
      </c>
      <c r="I278" s="57"/>
    </row>
    <row r="279" spans="1:9" x14ac:dyDescent="0.2">
      <c r="A279" s="643" t="s">
        <v>823</v>
      </c>
      <c r="B279" s="72">
        <f>'Design Regulator'!E88/1000000000000</f>
        <v>2.1299999999999999E-10</v>
      </c>
      <c r="C279" t="s">
        <v>24</v>
      </c>
      <c r="D279" s="72">
        <f>'Design Regulator'!F88/1000000000000</f>
        <v>1.6999999999999999E-9</v>
      </c>
      <c r="E279" t="s">
        <v>24</v>
      </c>
      <c r="F279" s="114" t="s">
        <v>825</v>
      </c>
      <c r="I279" s="57"/>
    </row>
    <row r="280" spans="1:9" x14ac:dyDescent="0.2">
      <c r="A280" s="212" t="s">
        <v>536</v>
      </c>
      <c r="B280" s="29">
        <f>'Design Regulator'!E89</f>
        <v>0.5</v>
      </c>
      <c r="C280" s="213" t="s">
        <v>116</v>
      </c>
      <c r="D280" s="29">
        <f>'Design Regulator'!F89</f>
        <v>0.5</v>
      </c>
      <c r="E280" s="213" t="s">
        <v>116</v>
      </c>
      <c r="F280" t="s">
        <v>100</v>
      </c>
      <c r="I280" s="57"/>
    </row>
    <row r="281" spans="1:9" x14ac:dyDescent="0.2">
      <c r="A281" s="212" t="s">
        <v>537</v>
      </c>
      <c r="B281" s="29">
        <f>'Design Regulator'!E90</f>
        <v>64</v>
      </c>
      <c r="C281" t="s">
        <v>66</v>
      </c>
      <c r="D281" s="29">
        <f>'Design Regulator'!F90</f>
        <v>280</v>
      </c>
      <c r="E281" t="s">
        <v>66</v>
      </c>
      <c r="F281" s="114" t="s">
        <v>747</v>
      </c>
      <c r="I281" s="57"/>
    </row>
    <row r="282" spans="1:9" x14ac:dyDescent="0.2">
      <c r="A282" s="212" t="s">
        <v>538</v>
      </c>
      <c r="B282" s="29">
        <f>'Design Regulator'!E91</f>
        <v>2.9</v>
      </c>
      <c r="C282" t="s">
        <v>0</v>
      </c>
      <c r="D282" s="29">
        <f>'Design Regulator'!F91</f>
        <v>3</v>
      </c>
      <c r="E282" t="s">
        <v>0</v>
      </c>
      <c r="F282" s="114" t="s">
        <v>748</v>
      </c>
      <c r="I282" s="57"/>
    </row>
    <row r="283" spans="1:9" x14ac:dyDescent="0.2">
      <c r="A283" s="212" t="s">
        <v>539</v>
      </c>
      <c r="B283" s="389">
        <f>Vth_Q1+(Iout/Number_of_Phases)/Gfs_Q1</f>
        <v>2.9624999999999999</v>
      </c>
      <c r="C283" t="s">
        <v>0</v>
      </c>
      <c r="D283" s="389">
        <f>Vth_Q2+(Iout/Number_of_Phases)/Gfs_Q2</f>
        <v>3.0142857142857142</v>
      </c>
      <c r="E283" t="s">
        <v>0</v>
      </c>
      <c r="F283" s="114" t="s">
        <v>749</v>
      </c>
      <c r="I283" s="57"/>
    </row>
    <row r="284" spans="1:9" x14ac:dyDescent="0.2">
      <c r="A284" s="56"/>
      <c r="C284"/>
      <c r="F284" s="114"/>
      <c r="I284" s="57"/>
    </row>
    <row r="285" spans="1:9" x14ac:dyDescent="0.2">
      <c r="A285" s="212" t="s">
        <v>541</v>
      </c>
      <c r="B285" s="29">
        <f>'Design Regulator'!E92</f>
        <v>0.7</v>
      </c>
      <c r="C285" t="s">
        <v>0</v>
      </c>
      <c r="D285" s="29">
        <f>'Design Regulator'!F92</f>
        <v>0.7</v>
      </c>
      <c r="E285" t="s">
        <v>0</v>
      </c>
      <c r="F285" s="114" t="s">
        <v>540</v>
      </c>
      <c r="I285" s="57"/>
    </row>
    <row r="286" spans="1:9" x14ac:dyDescent="0.2">
      <c r="A286" s="212" t="s">
        <v>498</v>
      </c>
      <c r="B286" s="72"/>
      <c r="C286" t="s">
        <v>134</v>
      </c>
      <c r="D286" s="72">
        <f>'Design Regulator'!F93/1000000000</f>
        <v>5.9999999999999995E-8</v>
      </c>
      <c r="E286" t="s">
        <v>134</v>
      </c>
      <c r="F286" t="s">
        <v>110</v>
      </c>
      <c r="I286" s="57"/>
    </row>
    <row r="287" spans="1:9" x14ac:dyDescent="0.2">
      <c r="A287" s="212" t="s">
        <v>499</v>
      </c>
      <c r="B287" s="72">
        <v>4.0000000000000001E-8</v>
      </c>
      <c r="C287" t="s">
        <v>133</v>
      </c>
      <c r="D287" s="72">
        <v>4.0000000000000001E-8</v>
      </c>
      <c r="E287" t="s">
        <v>133</v>
      </c>
      <c r="F287" t="s">
        <v>106</v>
      </c>
      <c r="I287" s="57"/>
    </row>
    <row r="288" spans="1:9" x14ac:dyDescent="0.2">
      <c r="A288" s="212" t="s">
        <v>600</v>
      </c>
      <c r="B288" s="29">
        <f>'Design Regulator'!E94</f>
        <v>50</v>
      </c>
      <c r="C288" s="114" t="s">
        <v>205</v>
      </c>
      <c r="D288" s="29">
        <f>'Design Regulator'!F94</f>
        <v>38</v>
      </c>
      <c r="E288" s="114" t="s">
        <v>205</v>
      </c>
      <c r="F288" s="114" t="s">
        <v>746</v>
      </c>
      <c r="I288" s="57"/>
    </row>
    <row r="289" spans="1:9" x14ac:dyDescent="0.2">
      <c r="A289" s="212"/>
      <c r="B289" s="29"/>
      <c r="C289" s="114"/>
      <c r="D289" s="29"/>
      <c r="E289" s="114"/>
      <c r="I289" s="57"/>
    </row>
    <row r="290" spans="1:9" x14ac:dyDescent="0.2">
      <c r="A290" s="212"/>
      <c r="B290" s="114"/>
      <c r="C290" s="114"/>
      <c r="D290" s="114"/>
      <c r="E290" s="114"/>
      <c r="I290" s="57"/>
    </row>
    <row r="291" spans="1:9" x14ac:dyDescent="0.2">
      <c r="A291" s="66" t="s">
        <v>739</v>
      </c>
      <c r="B291" s="2" t="s">
        <v>529</v>
      </c>
      <c r="C291"/>
      <c r="D291" s="2" t="s">
        <v>530</v>
      </c>
      <c r="I291" s="57"/>
    </row>
    <row r="292" spans="1:9" x14ac:dyDescent="0.2">
      <c r="A292" s="212" t="s">
        <v>533</v>
      </c>
      <c r="B292" s="29">
        <f>'Design Regulator'!H83/1000</f>
        <v>6.0000000000000001E-3</v>
      </c>
      <c r="C292" s="213" t="s">
        <v>116</v>
      </c>
      <c r="D292" s="29">
        <f>'Design Regulator'!I83/1000</f>
        <v>2.5000000000000001E-3</v>
      </c>
      <c r="E292" s="213" t="s">
        <v>116</v>
      </c>
      <c r="F292" s="114" t="s">
        <v>745</v>
      </c>
      <c r="I292" s="57"/>
    </row>
    <row r="293" spans="1:9" x14ac:dyDescent="0.2">
      <c r="A293" s="56" t="s">
        <v>80</v>
      </c>
      <c r="B293" s="408">
        <f>4000/1000000</f>
        <v>4.0000000000000001E-3</v>
      </c>
      <c r="C293" s="114" t="s">
        <v>279</v>
      </c>
      <c r="E293" s="114"/>
      <c r="F293" s="114" t="s">
        <v>407</v>
      </c>
      <c r="I293" s="57"/>
    </row>
    <row r="294" spans="1:9" x14ac:dyDescent="0.2">
      <c r="A294" s="212" t="s">
        <v>122</v>
      </c>
      <c r="B294" s="72">
        <f>'Design Regulator'!H84/1000000000</f>
        <v>8.0000000000000005E-9</v>
      </c>
      <c r="C294" t="s">
        <v>134</v>
      </c>
      <c r="D294" s="72">
        <f>'Design Regulator'!I84/1000000000</f>
        <v>2.4999999999999999E-8</v>
      </c>
      <c r="E294" t="s">
        <v>134</v>
      </c>
      <c r="F294" s="114" t="s">
        <v>743</v>
      </c>
      <c r="I294" s="57"/>
    </row>
    <row r="295" spans="1:9" x14ac:dyDescent="0.2">
      <c r="A295" s="212" t="s">
        <v>534</v>
      </c>
      <c r="B295" s="72">
        <f>'Design Regulator'!H85/1000000000</f>
        <v>1.3999999999999999E-9</v>
      </c>
      <c r="C295" t="s">
        <v>134</v>
      </c>
      <c r="D295" s="72">
        <f>'Design Regulator'!I85/1000000000</f>
        <v>4.4999999999999998E-9</v>
      </c>
      <c r="E295" t="s">
        <v>134</v>
      </c>
      <c r="F295" t="s">
        <v>121</v>
      </c>
      <c r="I295" s="57"/>
    </row>
    <row r="296" spans="1:9" x14ac:dyDescent="0.2">
      <c r="A296" s="212" t="s">
        <v>535</v>
      </c>
      <c r="B296" s="72">
        <f>'Design Regulator'!H86/1000000000</f>
        <v>3.8000000000000001E-9</v>
      </c>
      <c r="C296" t="s">
        <v>134</v>
      </c>
      <c r="D296" s="72">
        <f>'Design Regulator'!I86/1000000000</f>
        <v>1.2E-8</v>
      </c>
      <c r="E296" t="s">
        <v>134</v>
      </c>
      <c r="F296" t="s">
        <v>826</v>
      </c>
      <c r="I296" s="57"/>
    </row>
    <row r="297" spans="1:9" x14ac:dyDescent="0.2">
      <c r="A297" s="643" t="s">
        <v>822</v>
      </c>
      <c r="B297" s="72">
        <f>'Design Regulator'!H87/1000000000</f>
        <v>0</v>
      </c>
      <c r="C297" t="s">
        <v>134</v>
      </c>
      <c r="D297" s="72">
        <f>'Design Regulator'!I87/1000000000</f>
        <v>2.9999999999999997E-8</v>
      </c>
      <c r="E297" t="s">
        <v>134</v>
      </c>
      <c r="F297" s="114" t="s">
        <v>824</v>
      </c>
      <c r="I297" s="57"/>
    </row>
    <row r="298" spans="1:9" x14ac:dyDescent="0.2">
      <c r="A298" s="643" t="s">
        <v>823</v>
      </c>
      <c r="B298" s="72">
        <f>'Design Regulator'!H88/1000000000000</f>
        <v>2.1299999999999999E-10</v>
      </c>
      <c r="C298" t="s">
        <v>24</v>
      </c>
      <c r="D298" s="72">
        <f>'Design Regulator'!I88/1000000000000</f>
        <v>1.6999999999999999E-9</v>
      </c>
      <c r="E298" t="s">
        <v>24</v>
      </c>
      <c r="F298" s="114" t="s">
        <v>825</v>
      </c>
      <c r="I298" s="57"/>
    </row>
    <row r="299" spans="1:9" x14ac:dyDescent="0.2">
      <c r="A299" s="212" t="s">
        <v>536</v>
      </c>
      <c r="B299" s="29">
        <f>'Design Regulator'!H89</f>
        <v>0.5</v>
      </c>
      <c r="C299" s="213" t="s">
        <v>116</v>
      </c>
      <c r="D299" s="29">
        <f>'Design Regulator'!I89</f>
        <v>0.5</v>
      </c>
      <c r="E299" s="213" t="s">
        <v>116</v>
      </c>
      <c r="F299" t="s">
        <v>100</v>
      </c>
      <c r="I299" s="57"/>
    </row>
    <row r="300" spans="1:9" x14ac:dyDescent="0.2">
      <c r="A300" s="212" t="s">
        <v>537</v>
      </c>
      <c r="B300" s="29">
        <f>'Design Regulator'!H90</f>
        <v>64</v>
      </c>
      <c r="C300" t="s">
        <v>66</v>
      </c>
      <c r="D300" s="29">
        <f>'Design Regulator'!I90</f>
        <v>280</v>
      </c>
      <c r="E300" t="s">
        <v>66</v>
      </c>
      <c r="F300" s="114" t="s">
        <v>747</v>
      </c>
      <c r="I300" s="57"/>
    </row>
    <row r="301" spans="1:9" x14ac:dyDescent="0.2">
      <c r="A301" s="212" t="s">
        <v>538</v>
      </c>
      <c r="B301" s="29">
        <f>'Design Regulator'!H91</f>
        <v>2.9</v>
      </c>
      <c r="C301" t="s">
        <v>0</v>
      </c>
      <c r="D301" s="29">
        <f>'Design Regulator'!I91</f>
        <v>3</v>
      </c>
      <c r="E301" t="s">
        <v>0</v>
      </c>
      <c r="F301" s="114" t="s">
        <v>748</v>
      </c>
      <c r="I301" s="57"/>
    </row>
    <row r="302" spans="1:9" x14ac:dyDescent="0.2">
      <c r="A302" s="212" t="s">
        <v>539</v>
      </c>
      <c r="B302" s="389">
        <f>Vth_Q3+Iout2/Gfs_Q3</f>
        <v>3.0249999999999999</v>
      </c>
      <c r="C302" t="s">
        <v>0</v>
      </c>
      <c r="D302" s="389">
        <f>Vth_Q4+Iout2/Gfs_Q4</f>
        <v>3.0285714285714285</v>
      </c>
      <c r="E302" t="s">
        <v>0</v>
      </c>
      <c r="F302" s="114" t="s">
        <v>749</v>
      </c>
      <c r="I302" s="57"/>
    </row>
    <row r="303" spans="1:9" x14ac:dyDescent="0.2">
      <c r="E303" s="2"/>
      <c r="I303" s="57"/>
    </row>
    <row r="304" spans="1:9" x14ac:dyDescent="0.2">
      <c r="A304" s="212" t="s">
        <v>72</v>
      </c>
      <c r="B304" s="29">
        <f>'Design Regulator'!H92</f>
        <v>0.7</v>
      </c>
      <c r="C304" t="s">
        <v>0</v>
      </c>
      <c r="D304" s="29">
        <f>'Design Regulator'!I92</f>
        <v>0.7</v>
      </c>
      <c r="E304" t="s">
        <v>0</v>
      </c>
      <c r="F304" s="114" t="s">
        <v>540</v>
      </c>
      <c r="I304" s="57"/>
    </row>
    <row r="305" spans="1:9" x14ac:dyDescent="0.2">
      <c r="A305" s="56" t="s">
        <v>73</v>
      </c>
      <c r="B305" s="72"/>
      <c r="C305" t="s">
        <v>134</v>
      </c>
      <c r="D305" s="72">
        <f>'Design Regulator'!I93/1000000000</f>
        <v>5.9999999999999995E-8</v>
      </c>
      <c r="E305" t="s">
        <v>134</v>
      </c>
      <c r="F305" t="s">
        <v>110</v>
      </c>
      <c r="I305" s="57"/>
    </row>
    <row r="306" spans="1:9" x14ac:dyDescent="0.2">
      <c r="A306" s="56" t="s">
        <v>74</v>
      </c>
      <c r="B306" s="72">
        <v>4.0000000000000001E-8</v>
      </c>
      <c r="C306" t="s">
        <v>133</v>
      </c>
      <c r="D306" s="72">
        <v>4.0000000000000001E-8</v>
      </c>
      <c r="E306" t="s">
        <v>133</v>
      </c>
      <c r="F306" t="s">
        <v>106</v>
      </c>
      <c r="I306" s="57"/>
    </row>
    <row r="307" spans="1:9" x14ac:dyDescent="0.2">
      <c r="A307" s="212" t="s">
        <v>601</v>
      </c>
      <c r="B307" s="29">
        <f>'Design Regulator'!H94</f>
        <v>50</v>
      </c>
      <c r="C307" s="114" t="s">
        <v>205</v>
      </c>
      <c r="D307" s="29">
        <f>'Design Regulator'!I94</f>
        <v>38</v>
      </c>
      <c r="E307" s="114" t="s">
        <v>205</v>
      </c>
      <c r="F307" s="114" t="s">
        <v>746</v>
      </c>
      <c r="I307" s="57"/>
    </row>
    <row r="308" spans="1:9" x14ac:dyDescent="0.2">
      <c r="A308" s="212"/>
      <c r="B308" s="29"/>
      <c r="C308" s="114"/>
      <c r="D308" s="29"/>
      <c r="E308" s="114"/>
      <c r="I308" s="57"/>
    </row>
    <row r="309" spans="1:9" x14ac:dyDescent="0.2">
      <c r="A309" s="66" t="s">
        <v>522</v>
      </c>
      <c r="B309" s="486"/>
      <c r="D309" s="486"/>
      <c r="I309" s="57"/>
    </row>
    <row r="310" spans="1:9" x14ac:dyDescent="0.2">
      <c r="A310" s="56" t="s">
        <v>195</v>
      </c>
      <c r="B310" s="29">
        <f>'Design Regulator'!E97</f>
        <v>0</v>
      </c>
      <c r="C310" t="s">
        <v>0</v>
      </c>
      <c r="D310" s="29">
        <f>'Design Regulator'!F97</f>
        <v>0</v>
      </c>
      <c r="E310" t="s">
        <v>0</v>
      </c>
      <c r="F310" t="s">
        <v>198</v>
      </c>
      <c r="I310" s="57"/>
    </row>
    <row r="311" spans="1:9" x14ac:dyDescent="0.2">
      <c r="A311" s="56" t="s">
        <v>196</v>
      </c>
      <c r="B311" s="72">
        <f>'Design Regulator'!E98/1000000000</f>
        <v>0</v>
      </c>
      <c r="C311" t="s">
        <v>134</v>
      </c>
      <c r="D311" s="72">
        <f>'Design Regulator'!F98/1000000000</f>
        <v>0</v>
      </c>
      <c r="E311" t="s">
        <v>134</v>
      </c>
      <c r="F311" t="s">
        <v>199</v>
      </c>
      <c r="I311" s="57"/>
    </row>
    <row r="312" spans="1:9" x14ac:dyDescent="0.2">
      <c r="A312" s="56" t="s">
        <v>197</v>
      </c>
      <c r="B312" s="29">
        <v>0</v>
      </c>
      <c r="C312" t="s">
        <v>1</v>
      </c>
      <c r="D312" s="29">
        <v>0</v>
      </c>
      <c r="E312" t="s">
        <v>1</v>
      </c>
      <c r="F312" t="s">
        <v>200</v>
      </c>
      <c r="I312" s="57"/>
    </row>
    <row r="313" spans="1:9" x14ac:dyDescent="0.2">
      <c r="A313" s="56"/>
      <c r="C313"/>
      <c r="I313" s="57"/>
    </row>
    <row r="314" spans="1:9" x14ac:dyDescent="0.2">
      <c r="A314" s="66" t="s">
        <v>117</v>
      </c>
      <c r="C314"/>
      <c r="I314" s="57"/>
    </row>
    <row r="315" spans="1:9" x14ac:dyDescent="0.2">
      <c r="A315" s="212" t="s">
        <v>473</v>
      </c>
      <c r="B315" s="408">
        <v>34.799999999999997</v>
      </c>
      <c r="C315" s="114" t="s">
        <v>205</v>
      </c>
      <c r="D315" s="114"/>
      <c r="E315" s="114"/>
      <c r="F315" t="s">
        <v>477</v>
      </c>
      <c r="I315" s="57"/>
    </row>
    <row r="316" spans="1:9" x14ac:dyDescent="0.2">
      <c r="A316" s="66" t="s">
        <v>77</v>
      </c>
      <c r="C316"/>
      <c r="I316" s="57"/>
    </row>
    <row r="317" spans="1:9" x14ac:dyDescent="0.2">
      <c r="A317" s="212" t="s">
        <v>59</v>
      </c>
      <c r="C317"/>
      <c r="I317" s="57"/>
    </row>
    <row r="318" spans="1:9" x14ac:dyDescent="0.2">
      <c r="A318" s="56" t="s">
        <v>88</v>
      </c>
      <c r="B318" s="69">
        <f>(Qgd_Q1+Qgs_Q1/2)*(RdsonDRT+Rgate1)/(VCC-Vsp_Q1)</f>
        <v>2.4294478527607358E-9</v>
      </c>
      <c r="C318" t="s">
        <v>133</v>
      </c>
      <c r="D318" s="69">
        <f>(Qgd_Q3+Qgs_Q3/2)*(RdsonDRT+Rgate3)/(VCC-Vsp_Q3)</f>
        <v>2.5063291139240505E-9</v>
      </c>
      <c r="E318" t="s">
        <v>133</v>
      </c>
      <c r="I318" s="57"/>
    </row>
    <row r="319" spans="1:9" x14ac:dyDescent="0.2">
      <c r="A319" s="56" t="s">
        <v>89</v>
      </c>
      <c r="B319" s="69">
        <f>(Qgd_Q1+Qgs_Q1/2)*(RdsonDRT2+Rgate1)/(Vsp_Q1)</f>
        <v>1.1139240506329113E-9</v>
      </c>
      <c r="C319" t="s">
        <v>133</v>
      </c>
      <c r="D319" s="69">
        <f>(Qgd_Q3+Qgs_Q3/2)*(RdsonDRT2+Rgate3)/(Vsp_Q3)</f>
        <v>1.0909090909090909E-9</v>
      </c>
      <c r="E319" t="s">
        <v>133</v>
      </c>
      <c r="I319" s="57"/>
    </row>
    <row r="320" spans="1:9" x14ac:dyDescent="0.2">
      <c r="A320" s="56"/>
      <c r="C320"/>
      <c r="I320" s="57"/>
    </row>
    <row r="321" spans="1:9" x14ac:dyDescent="0.2">
      <c r="A321" s="66" t="s">
        <v>413</v>
      </c>
      <c r="B321" s="2" t="s">
        <v>7</v>
      </c>
      <c r="C321" s="2" t="s">
        <v>76</v>
      </c>
      <c r="I321" s="57"/>
    </row>
    <row r="322" spans="1:9" x14ac:dyDescent="0.2">
      <c r="A322" s="58" t="s">
        <v>115</v>
      </c>
      <c r="B322" s="3">
        <f>CHOOSE(Ext_VCC, IF(MODE=1, (Qg_Q1+Qg_Q2+Qg_Q3+Qg_Q4)*Fsw*VCC, (Qg_Q1+Qg_Q2)*2*Fsw*VCC), IF(MODE=1, (Qg_Q1+Qg_Q2+Qg_Q3+Qg_Q4)*Fsw*Vin, (Qg_Q1+Qg_Q2)*2*Fsw*Vin))</f>
        <v>0.69300000000000006</v>
      </c>
      <c r="C322" s="3" t="s">
        <v>116</v>
      </c>
      <c r="I322" s="57"/>
    </row>
    <row r="323" spans="1:9" x14ac:dyDescent="0.2">
      <c r="A323" s="58" t="s">
        <v>119</v>
      </c>
      <c r="B323" s="642">
        <f>B322*ThetaJaCtrl</f>
        <v>24.116399999999999</v>
      </c>
      <c r="C323" s="114" t="s">
        <v>226</v>
      </c>
      <c r="I323" s="57"/>
    </row>
    <row r="324" spans="1:9" x14ac:dyDescent="0.2">
      <c r="A324" s="212" t="s">
        <v>807</v>
      </c>
      <c r="B324" s="642">
        <f>B323 + Ta</f>
        <v>49.116399999999999</v>
      </c>
      <c r="C324" s="114" t="s">
        <v>226</v>
      </c>
      <c r="I324" s="57"/>
    </row>
    <row r="325" spans="1:9" x14ac:dyDescent="0.2">
      <c r="A325" s="643"/>
      <c r="B325" s="642"/>
      <c r="C325" s="114"/>
      <c r="I325" s="57"/>
    </row>
    <row r="326" spans="1:9" x14ac:dyDescent="0.2">
      <c r="A326" s="58" t="s">
        <v>210</v>
      </c>
      <c r="B326" s="42">
        <f>(Qg_Q1+Qg_Q2)*Fsw+Iq</f>
        <v>6.9334999999999994E-2</v>
      </c>
      <c r="C326" t="s">
        <v>1</v>
      </c>
      <c r="I326" s="57"/>
    </row>
    <row r="327" spans="1:9" x14ac:dyDescent="0.2">
      <c r="A327" s="58" t="s">
        <v>211</v>
      </c>
      <c r="B327">
        <f>Qrr_Q2*Fsw</f>
        <v>0.126</v>
      </c>
      <c r="C327" t="s">
        <v>1</v>
      </c>
      <c r="I327" s="57"/>
    </row>
    <row r="328" spans="1:9" x14ac:dyDescent="0.2">
      <c r="A328" s="58" t="s">
        <v>212</v>
      </c>
      <c r="B328" t="e">
        <f>C328/Vin</f>
        <v>#NAME?</v>
      </c>
      <c r="C328" t="e">
        <f>Deadtime*Fsw*(Ipp/2)*(Vsd_Q1+Vsd_Q2)</f>
        <v>#NAME?</v>
      </c>
      <c r="I328" s="57"/>
    </row>
    <row r="329" spans="1:9" x14ac:dyDescent="0.2">
      <c r="A329" s="58" t="s">
        <v>214</v>
      </c>
      <c r="B329" t="e">
        <f>SUM(B326:B328)</f>
        <v>#NAME?</v>
      </c>
      <c r="C329" t="s">
        <v>1</v>
      </c>
      <c r="I329" s="57"/>
    </row>
    <row r="330" spans="1:9" x14ac:dyDescent="0.2">
      <c r="A330" s="56"/>
      <c r="I330" s="57"/>
    </row>
    <row r="331" spans="1:9" x14ac:dyDescent="0.2">
      <c r="A331" s="66" t="s">
        <v>440</v>
      </c>
      <c r="I331" s="57"/>
    </row>
    <row r="332" spans="1:9" x14ac:dyDescent="0.2">
      <c r="A332" s="56" t="s">
        <v>114</v>
      </c>
      <c r="I332" s="57"/>
    </row>
    <row r="333" spans="1:9" ht="13.5" thickBot="1" x14ac:dyDescent="0.25">
      <c r="A333" s="60" t="s">
        <v>115</v>
      </c>
      <c r="B333" s="61"/>
      <c r="C333" s="298"/>
      <c r="D333" s="61"/>
      <c r="E333" s="61"/>
      <c r="F333" s="61"/>
      <c r="G333" s="61"/>
      <c r="H333" s="61"/>
      <c r="I333" s="62"/>
    </row>
    <row r="334" spans="1:9" x14ac:dyDescent="0.2">
      <c r="A334" s="1"/>
      <c r="B334" s="1"/>
      <c r="C334" s="1"/>
    </row>
    <row r="335" spans="1:9" ht="21.75" customHeight="1" thickBot="1" x14ac:dyDescent="0.3">
      <c r="A335" s="89" t="s">
        <v>206</v>
      </c>
      <c r="D335" s="2"/>
    </row>
    <row r="336" spans="1:9" x14ac:dyDescent="0.2">
      <c r="A336" s="90" t="str">
        <f>"RC1 = "&amp;'Design Regulator'!D70&amp;"kΩ"</f>
        <v>RC1 = 0.976kΩ</v>
      </c>
      <c r="B336" s="63" t="str">
        <f>'Design Regulator'!D70&amp;"kΩ"</f>
        <v>0.976kΩ</v>
      </c>
      <c r="C336" s="297"/>
      <c r="D336" s="292" t="str">
        <f>'Design Regulator'!D73&amp;"kΩ"</f>
        <v>1.47kΩ</v>
      </c>
      <c r="E336" s="63"/>
      <c r="F336" s="63"/>
      <c r="G336" s="63"/>
      <c r="H336" s="63"/>
      <c r="I336" s="64"/>
    </row>
    <row r="337" spans="1:9" x14ac:dyDescent="0.2">
      <c r="A337" s="56" t="str">
        <f>"RC2 = "&amp;'Design Regulator'!D73&amp;"kΩ"</f>
        <v>RC2 = 1.47kΩ</v>
      </c>
      <c r="B337" t="str">
        <f>'Design Regulator'!D73&amp;"kΩ"</f>
        <v>1.47kΩ</v>
      </c>
      <c r="I337" s="57"/>
    </row>
    <row r="338" spans="1:9" x14ac:dyDescent="0.2">
      <c r="A338" s="56"/>
      <c r="I338" s="57"/>
    </row>
    <row r="339" spans="1:9" x14ac:dyDescent="0.2">
      <c r="A339" s="56" t="str">
        <f>"LF = "&amp;'Design Regulator'!E28&amp;"µH"</f>
        <v>LF = 0.68µH</v>
      </c>
      <c r="B339" t="str">
        <f>'Design Regulator'!E28&amp;"µH"</f>
        <v>0.68µH</v>
      </c>
      <c r="D339" t="str">
        <f>IF(MODE = 1, 'Design Regulator'!J28&amp;"µH", 'Design Regulator'!E28&amp;"µH")</f>
        <v>1µH</v>
      </c>
      <c r="I339" s="57"/>
    </row>
    <row r="340" spans="1:9" x14ac:dyDescent="0.2">
      <c r="A340" s="56" t="str">
        <f>"Rdcr = "&amp;Rdcr*1000&amp;"mΩ"</f>
        <v>Rdcr = 5mΩ</v>
      </c>
      <c r="B340" t="str">
        <f>Rdcr*1000&amp;"mΩ"</f>
        <v>5mΩ</v>
      </c>
      <c r="D340" t="str">
        <f>IF(MODE=1, Rdcr2*1000&amp;"mΩ", Rdcr*1000&amp;"mΩ")</f>
        <v>9mΩ</v>
      </c>
      <c r="I340" s="57"/>
    </row>
    <row r="341" spans="1:9" x14ac:dyDescent="0.2">
      <c r="A341" s="56" t="str">
        <f>"Rs = "&amp;'Design Regulator'!E19&amp;"mΩ"</f>
        <v>Rs = 10mΩ</v>
      </c>
      <c r="B341" t="str">
        <f>CHOOSE(SENSING_TYPE, 'Design Regulator'!E19&amp;"mΩ", Rdcr*1000&amp;"mΩ")</f>
        <v>10mΩ</v>
      </c>
      <c r="D341" t="str">
        <f>IF(MODE = 1, 'Design Regulator'!J19&amp;"mΩ", CHOOSE(SENSING_TYPE, 'Design Regulator'!E19&amp;"mΩ", Rdcr*1000&amp;"mΩ"))</f>
        <v>10mΩ</v>
      </c>
      <c r="I341" s="57"/>
    </row>
    <row r="342" spans="1:9" x14ac:dyDescent="0.2">
      <c r="A342" s="56"/>
      <c r="I342" s="57"/>
    </row>
    <row r="343" spans="1:9" x14ac:dyDescent="0.2">
      <c r="A343" s="56" t="str">
        <f>"VOUT = "&amp;'Design Regulator'!E10&amp;"V"</f>
        <v>VOUT = 3.3V</v>
      </c>
      <c r="B343" t="str">
        <f>'Design Regulator'!E10&amp;"V"</f>
        <v>3.3V</v>
      </c>
      <c r="D343" t="str">
        <f>IF(MODE=1, 'Design Regulator'!J10&amp;"V", "")</f>
        <v>5V</v>
      </c>
      <c r="I343" s="57"/>
    </row>
    <row r="344" spans="1:9" x14ac:dyDescent="0.2">
      <c r="A344" s="56"/>
      <c r="I344" s="57"/>
    </row>
    <row r="345" spans="1:9" x14ac:dyDescent="0.2">
      <c r="A345" s="56" t="str">
        <f>"COUT = "&amp;'Design Regulator'!$E$35&amp;"µF"</f>
        <v>COUT = 4.7µF</v>
      </c>
      <c r="B345" t="str">
        <f>ROUND('Design Regulator'!$E$35/Number_of_Phases, 0)&amp;"µF"</f>
        <v>5µF</v>
      </c>
      <c r="D345" t="str">
        <f>IF(MODE=1, 'Design Regulator'!$J$35&amp;"µF", ROUND('Design Regulator'!$E$35/Number_of_Phases, 0)&amp;"µF")</f>
        <v>4.7µF</v>
      </c>
      <c r="I345" s="57"/>
    </row>
    <row r="346" spans="1:9" x14ac:dyDescent="0.2">
      <c r="A346" s="212" t="s">
        <v>266</v>
      </c>
      <c r="B346" t="str">
        <f>"22µF"</f>
        <v>22µF</v>
      </c>
      <c r="I346" s="57"/>
    </row>
    <row r="347" spans="1:9" x14ac:dyDescent="0.2">
      <c r="A347" s="212" t="s">
        <v>267</v>
      </c>
      <c r="B347" s="116" t="str">
        <f>ROUNDUP(Cout*1000000/22,0)&amp;" x"</f>
        <v>1 x</v>
      </c>
      <c r="C347" s="299"/>
      <c r="I347" s="57"/>
    </row>
    <row r="348" spans="1:9" x14ac:dyDescent="0.2">
      <c r="A348" s="56"/>
      <c r="I348" s="57"/>
    </row>
    <row r="349" spans="1:9" x14ac:dyDescent="0.2">
      <c r="A349" s="56" t="s">
        <v>215</v>
      </c>
      <c r="B349" t="str">
        <f>Cin*1000000&amp;"µF"</f>
        <v>50µF</v>
      </c>
      <c r="I349" s="57"/>
    </row>
    <row r="350" spans="1:9" x14ac:dyDescent="0.2">
      <c r="A350" s="212" t="s">
        <v>265</v>
      </c>
      <c r="B350" t="str">
        <f>"10µF"</f>
        <v>10µF</v>
      </c>
      <c r="I350" s="57"/>
    </row>
    <row r="351" spans="1:9" x14ac:dyDescent="0.2">
      <c r="A351" s="212" t="s">
        <v>264</v>
      </c>
      <c r="B351" s="116" t="str">
        <f>ROUNDUP(Cin*1000000/10,0)&amp;" x"</f>
        <v>5 x</v>
      </c>
      <c r="C351" s="299"/>
      <c r="I351" s="57"/>
    </row>
    <row r="352" spans="1:9" x14ac:dyDescent="0.2">
      <c r="A352" s="212"/>
      <c r="B352" s="116"/>
      <c r="C352" s="299"/>
      <c r="I352" s="57"/>
    </row>
    <row r="353" spans="1:9" x14ac:dyDescent="0.2">
      <c r="A353" s="56" t="str">
        <f>"RC1 = "&amp;Rcea1_u/1000&amp;"kΩ"</f>
        <v>RC1 = 0.976kΩ</v>
      </c>
      <c r="B353" t="str">
        <f>ROUND(Rcea1_u/1000,2)&amp;"kΩ"</f>
        <v>0.98kΩ</v>
      </c>
      <c r="C353" s="114" t="str">
        <f>IF(MODE=1, "Rc2", "")</f>
        <v>Rc2</v>
      </c>
      <c r="D353" t="str">
        <f>IF(MODE=1, ROUND(Rcea2_u/1000,2)&amp;"kΩ", "")</f>
        <v>1.47kΩ</v>
      </c>
      <c r="E353">
        <f>IF(MODE=1, ROUND(Rcea2_u/1000,2), "")</f>
        <v>1.47</v>
      </c>
      <c r="I353" s="57"/>
    </row>
    <row r="354" spans="1:9" x14ac:dyDescent="0.2">
      <c r="A354" s="56" t="str">
        <f>"CC1 = "&amp;Cc1ea_u*10^9&amp;"nF"</f>
        <v>CC1 = 27nF</v>
      </c>
      <c r="B354" t="str">
        <f>Cc1ea_u*10^9&amp;"nF"</f>
        <v>27nF</v>
      </c>
      <c r="C354" s="114" t="str">
        <f>IF(MODE=1, "Cc3", "")</f>
        <v>Cc3</v>
      </c>
      <c r="D354" t="str">
        <f>IF(MODE=1, Cc3ea_u*10^9&amp;"nF", "")</f>
        <v>18nF</v>
      </c>
      <c r="E354">
        <f>IF(MODE=1, Cc3ea_u*10^9, "")</f>
        <v>18.000000000000004</v>
      </c>
      <c r="I354" s="57"/>
    </row>
    <row r="355" spans="1:9" x14ac:dyDescent="0.2">
      <c r="A355" s="56" t="str">
        <f>"CC2 = "&amp;IF(Cc2ea_u&gt;0, Cc2ea_u*10^12&amp;"pF", "OPEN")</f>
        <v>CC2 = 150pF</v>
      </c>
      <c r="B355" t="str">
        <f>IF(Cc2ea_u&gt;0, ROUND(Cc2ea_u*10^12,1)&amp;"pF", "N/A")</f>
        <v>150pF</v>
      </c>
      <c r="C355" s="114" t="str">
        <f>IF(MODE=1, "Cc4", "")</f>
        <v>Cc4</v>
      </c>
      <c r="D355" t="str">
        <f>IF(MODE=1, IF(Cc4ea_u&gt;0, ROUND(Cc4ea_u*10^12,1)&amp;"pF", "N/A"), "")</f>
        <v>100pF</v>
      </c>
      <c r="E355">
        <f>IF(MODE=1, IF(Cc4ea_u&gt;0, ROUND(Cc4ea_u*10^12,1), "N/A"), "")</f>
        <v>100</v>
      </c>
      <c r="I355" s="57"/>
    </row>
    <row r="356" spans="1:9" x14ac:dyDescent="0.2">
      <c r="A356" s="56"/>
      <c r="I356" s="57"/>
    </row>
    <row r="357" spans="1:9" x14ac:dyDescent="0.2">
      <c r="A357" s="56" t="str">
        <f>"gm = "&amp;$B$184*1000&amp;"mS"</f>
        <v>gm = 1.2mS</v>
      </c>
      <c r="B357" t="str">
        <f>$B$184*1000&amp;"mS"</f>
        <v>1.2mS</v>
      </c>
      <c r="I357" s="57"/>
    </row>
    <row r="358" spans="1:9" x14ac:dyDescent="0.2">
      <c r="A358" s="56" t="str">
        <f>"RoEA = "&amp;RoEA/1000000&amp;"MΩ"</f>
        <v>RoEA = 64MΩ</v>
      </c>
      <c r="B358" t="str">
        <f>RoEA/1000000&amp;"MΩ"</f>
        <v>64MΩ</v>
      </c>
      <c r="I358" s="57"/>
    </row>
    <row r="359" spans="1:9" x14ac:dyDescent="0.2">
      <c r="A359" s="56" t="str">
        <f>"GBW = "&amp;GBW&amp;"MHz"</f>
        <v>GBW = 30MHz</v>
      </c>
      <c r="B359" t="str">
        <f>GBW&amp;"MHz"</f>
        <v>30MHz</v>
      </c>
      <c r="I359" s="57"/>
    </row>
    <row r="360" spans="1:9" x14ac:dyDescent="0.2">
      <c r="A360" s="56"/>
      <c r="I360" s="57"/>
    </row>
    <row r="361" spans="1:9" x14ac:dyDescent="0.2">
      <c r="A361" s="56" t="e">
        <f>"Cslope = "&amp;Cslope&amp;"pF"</f>
        <v>#NAME?</v>
      </c>
      <c r="B361" t="e">
        <f>ROUND(Cslope*1,0)&amp;"pF"</f>
        <v>#NAME?</v>
      </c>
      <c r="I361" s="57"/>
    </row>
    <row r="362" spans="1:9" x14ac:dyDescent="0.2">
      <c r="A362" s="56" t="str">
        <f>IF(DITHER=1, "Cdither = "&amp;Cdither*1000000000&amp;"nF", "")</f>
        <v/>
      </c>
      <c r="B362" t="str">
        <f>IF(DITHER=1, ROUND(Cdither*1000000000,1)&amp;"nF", "")</f>
        <v/>
      </c>
      <c r="C362" s="2" t="str">
        <f>IF(DITHER=1, "Cd", "")</f>
        <v/>
      </c>
      <c r="I362" s="57"/>
    </row>
    <row r="363" spans="1:9" x14ac:dyDescent="0.2">
      <c r="A363" s="56" t="str">
        <f>"RFB1 = "&amp;'Design Regulator'!E65&amp;"kΩ"</f>
        <v>RFB1 = 10kΩ</v>
      </c>
      <c r="B363" t="str">
        <f>'Design Regulator'!E65&amp;"kΩ"</f>
        <v>10kΩ</v>
      </c>
      <c r="D363" t="str">
        <f>'Design Regulator'!J65&amp;"kΩ"</f>
        <v>10kΩ</v>
      </c>
      <c r="I363" s="57"/>
    </row>
    <row r="364" spans="1:9" x14ac:dyDescent="0.2">
      <c r="A364" s="56" t="str">
        <f>"RFB2 = "&amp;IF(Vout=Vref,"OPEN",'Design Regulator'!E66&amp;"kΩ")</f>
        <v>RFB2 = 2.21kΩ</v>
      </c>
      <c r="B364" t="str">
        <f>IF(Vout=Vref,"OPEN",Rfb2_u/1000&amp;"kΩ")</f>
        <v>2.21kΩ</v>
      </c>
      <c r="D364" t="str">
        <f>IF(Vout2=Vref,"OPEN",Rfb4_u/1000&amp;"kΩ")</f>
        <v>1.37kΩ</v>
      </c>
      <c r="I364" s="57"/>
    </row>
    <row r="365" spans="1:9" x14ac:dyDescent="0.2">
      <c r="A365" s="56" t="str">
        <f>CHOOSE(BODE_PLOT_TYPE, "Crossover Frequency = "&amp;ROUND('Stability Calculations'!Q4,1)&amp;" kHz",  "Crossover Frequency = "&amp;ROUND('Ch2 Stability Calculations'!Q4,1)&amp;" kHz")</f>
        <v>Crossover Frequency = 30.6 kHz</v>
      </c>
      <c r="B365" t="str">
        <f>CHOOSE(BODE_PLOT_TYPE, ROUND('Stability Calculations'!Q4,1)&amp;" kHz", ROUND('Ch2 Stability Calculations'!Q4,1)&amp;" kHz")</f>
        <v>30.6 kHz</v>
      </c>
      <c r="D365" s="115">
        <f>'Stability Calculations'!Q4</f>
        <v>30.551500000000001</v>
      </c>
      <c r="I365" s="57"/>
    </row>
    <row r="366" spans="1:9" x14ac:dyDescent="0.2">
      <c r="A366" s="56" t="str">
        <f>CHOOSE(BODE_PLOT_TYPE, "Phase Margin = "&amp;ROUND('Stability Calculations'!Q5,0)&amp;"°", "Phase Margin = "&amp;ROUND('Ch2 Stability Calculations'!Q5,0)&amp;"°")</f>
        <v>Phase Margin = 135°</v>
      </c>
      <c r="B366" s="116" t="str">
        <f>CHOOSE(BODE_PLOT_TYPE, ROUND('Stability Calculations'!Q5,0)&amp;"°", ROUND('Ch2 Stability Calculations'!Q5,0)&amp;"°")</f>
        <v>135°</v>
      </c>
      <c r="C366" s="299"/>
      <c r="E366" s="213"/>
      <c r="I366" s="57"/>
    </row>
    <row r="367" spans="1:9" x14ac:dyDescent="0.2">
      <c r="A367" s="56"/>
      <c r="B367" s="116"/>
      <c r="C367" s="299"/>
      <c r="E367" s="213"/>
      <c r="I367" s="57"/>
    </row>
    <row r="368" spans="1:9" x14ac:dyDescent="0.2">
      <c r="A368" s="66" t="s">
        <v>598</v>
      </c>
      <c r="B368" s="492" t="str">
        <f>IF(PLOT_TYPE=1, ROUND('Efficiency Calculations'!AZ109,1)&amp;"%", ROUND('Ch2 Efficiency Calculations'!AZ109,1)&amp;"%")</f>
        <v>73%</v>
      </c>
      <c r="C368" s="299"/>
      <c r="D368" s="492"/>
      <c r="E368" s="213"/>
      <c r="I368" s="57"/>
    </row>
    <row r="369" spans="1:9" x14ac:dyDescent="0.2">
      <c r="A369" s="66" t="s">
        <v>599</v>
      </c>
      <c r="B369" s="492" t="str">
        <f>IF(PLOT_TYPE=1, ROUND('Efficiency Calculations'!AZ59,1)&amp;"%", ROUND('Ch2 Efficiency Calculations'!AZ59,1)&amp;"%")</f>
        <v>68.7%</v>
      </c>
      <c r="C369" s="299"/>
      <c r="D369" s="492"/>
      <c r="E369" s="213"/>
      <c r="I369" s="57"/>
    </row>
    <row r="370" spans="1:9" x14ac:dyDescent="0.2">
      <c r="A370" s="56"/>
      <c r="B370" s="116"/>
      <c r="C370" s="299"/>
      <c r="E370" s="213"/>
      <c r="I370" s="57"/>
    </row>
    <row r="371" spans="1:9" x14ac:dyDescent="0.2">
      <c r="A371" s="56" t="str">
        <f>"CDITH = "&amp;Cdither*1000000000&amp;"nF"</f>
        <v>CDITH = 10nF</v>
      </c>
      <c r="B371" t="str">
        <f>Cdither*1000000000&amp;"nF"</f>
        <v>10nF</v>
      </c>
      <c r="I371" s="57"/>
    </row>
    <row r="372" spans="1:9" x14ac:dyDescent="0.2">
      <c r="A372" s="56" t="str">
        <f>"Rs = "&amp;Rs&amp;"Ω"</f>
        <v>Rs = 0.01Ω</v>
      </c>
      <c r="B372" t="str">
        <f>'Standard Value Calculator'!O6&amp;"Ω"</f>
        <v>Ω</v>
      </c>
      <c r="I372" s="57"/>
    </row>
    <row r="373" spans="1:9" x14ac:dyDescent="0.2">
      <c r="A373" s="56" t="s">
        <v>189</v>
      </c>
      <c r="B373" t="str">
        <f>'Standard Value Calculator'!O16&amp;"mΩ"</f>
        <v>7.32mΩ</v>
      </c>
      <c r="I373" s="57"/>
    </row>
    <row r="374" spans="1:9" x14ac:dyDescent="0.2">
      <c r="A374" s="56" t="s">
        <v>167</v>
      </c>
      <c r="B374" t="str">
        <f>'Standard Value Calculator'!O6&amp;"mΩ"</f>
        <v>mΩ</v>
      </c>
      <c r="I374" s="57"/>
    </row>
    <row r="375" spans="1:9" x14ac:dyDescent="0.2">
      <c r="A375" s="56" t="e">
        <f>"Rshunt = "&amp;ROUND(Rshunt,1)&amp;"mΩ"</f>
        <v>#NAME?</v>
      </c>
      <c r="B375" t="e">
        <f>IF(Rshunt="0", "N/A",ROUND(Rshunt,1)&amp;"mΩ")</f>
        <v>#NAME?</v>
      </c>
      <c r="I375" s="57"/>
    </row>
    <row r="376" spans="1:9" x14ac:dyDescent="0.2">
      <c r="A376" s="56"/>
      <c r="I376" s="57"/>
    </row>
    <row r="377" spans="1:9" x14ac:dyDescent="0.2">
      <c r="A377" s="212" t="s">
        <v>262</v>
      </c>
      <c r="B377" s="114" t="s">
        <v>263</v>
      </c>
      <c r="I377" s="57"/>
    </row>
    <row r="378" spans="1:9" x14ac:dyDescent="0.2">
      <c r="A378" s="212"/>
      <c r="B378" s="114"/>
      <c r="I378" s="57"/>
    </row>
    <row r="379" spans="1:9" x14ac:dyDescent="0.2">
      <c r="A379" s="212"/>
      <c r="B379" s="114"/>
      <c r="I379" s="57"/>
    </row>
    <row r="380" spans="1:9" x14ac:dyDescent="0.2">
      <c r="A380" s="212" t="s">
        <v>280</v>
      </c>
      <c r="B380" t="str">
        <f>'Standard Value Calculator'!O4/1000&amp;"kΩ"</f>
        <v>10.5kΩ</v>
      </c>
      <c r="I380" s="57"/>
    </row>
    <row r="381" spans="1:9" x14ac:dyDescent="0.2">
      <c r="A381" s="56" t="s">
        <v>152</v>
      </c>
      <c r="B381" t="str">
        <f>IF(MODE=1, 'Standard Value Calculator'!B4*1000000000&amp;"nF", "")</f>
        <v>100nF</v>
      </c>
      <c r="C381" s="114" t="str">
        <f>IF(MODE=1,"Css1","")</f>
        <v>Css1</v>
      </c>
      <c r="I381" s="57"/>
    </row>
    <row r="382" spans="1:9" x14ac:dyDescent="0.2">
      <c r="A382" s="643" t="s">
        <v>814</v>
      </c>
      <c r="B382" t="str">
        <f xml:space="preserve"> 'Standard Value Calculator'!B4*1000000000&amp;"nF"</f>
        <v>100nF</v>
      </c>
      <c r="C382" s="114" t="str">
        <f>IF(MODE=1,"Css2","Css")</f>
        <v>Css2</v>
      </c>
      <c r="I382" s="57"/>
    </row>
    <row r="383" spans="1:9" x14ac:dyDescent="0.2">
      <c r="A383" s="212" t="s">
        <v>682</v>
      </c>
      <c r="B383" t="str">
        <f>IF(Cres_u = 0, "N/A", Cres_u*1000000000 &amp;"nF")</f>
        <v>470nF</v>
      </c>
      <c r="D383">
        <f>Cres_u</f>
        <v>4.7E-7</v>
      </c>
      <c r="I383" s="57"/>
    </row>
    <row r="384" spans="1:9" x14ac:dyDescent="0.2">
      <c r="A384" s="643"/>
      <c r="I384" s="57"/>
    </row>
    <row r="385" spans="1:9" x14ac:dyDescent="0.2">
      <c r="A385" s="56" t="s">
        <v>190</v>
      </c>
      <c r="B385" t="str">
        <f>IF(B76="y","","|")</f>
        <v>|</v>
      </c>
      <c r="I385" s="57"/>
    </row>
    <row r="386" spans="1:9" x14ac:dyDescent="0.2">
      <c r="A386" s="56" t="s">
        <v>207</v>
      </c>
      <c r="B386" t="str">
        <f>'Design Regulator'!$E$11&amp;"A"</f>
        <v>4A</v>
      </c>
      <c r="D386" t="str">
        <f>IF(MODE=1,'Design Regulator'!$J$11&amp;"A","")</f>
        <v>8A</v>
      </c>
      <c r="I386" s="57"/>
    </row>
    <row r="387" spans="1:9" x14ac:dyDescent="0.2">
      <c r="A387" s="56" t="s">
        <v>144</v>
      </c>
      <c r="B387" t="str">
        <f>VIN_nom&amp;"V"</f>
        <v>21V</v>
      </c>
      <c r="I387" s="57"/>
    </row>
    <row r="388" spans="1:9" x14ac:dyDescent="0.2">
      <c r="A388" s="212" t="s">
        <v>608</v>
      </c>
      <c r="B388" t="str">
        <f>VIN_min&amp;"V"&amp;"..."&amp;VIN_max&amp;"V"</f>
        <v>20V...26V</v>
      </c>
      <c r="I388" s="57"/>
    </row>
    <row r="389" spans="1:9" x14ac:dyDescent="0.2">
      <c r="A389" s="56"/>
      <c r="I389" s="57"/>
    </row>
    <row r="390" spans="1:9" ht="13.5" thickBot="1" x14ac:dyDescent="0.25">
      <c r="A390" s="60"/>
      <c r="B390" s="61"/>
      <c r="C390" s="298"/>
      <c r="D390" s="61"/>
      <c r="E390" s="61"/>
      <c r="F390" s="61"/>
      <c r="G390" s="61"/>
      <c r="H390" s="61"/>
      <c r="I390" s="62"/>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K132"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687"/>
  <sheetViews>
    <sheetView zoomScaleNormal="100" workbookViewId="0">
      <pane ySplit="11" topLeftCell="A12" activePane="bottomLeft" state="frozen"/>
      <selection activeCell="A93" sqref="A93"/>
      <selection pane="bottomLeft" activeCell="C5" sqref="C5"/>
    </sheetView>
  </sheetViews>
  <sheetFormatPr defaultColWidth="9.140625" defaultRowHeight="12.75" x14ac:dyDescent="0.2"/>
  <cols>
    <col min="1" max="1" width="16.140625" style="319" customWidth="1"/>
    <col min="2" max="2" width="15.7109375" style="319" customWidth="1"/>
    <col min="3" max="3" width="10" style="319" customWidth="1"/>
    <col min="4" max="4" width="10.85546875" style="319" customWidth="1"/>
    <col min="5" max="5" width="10.140625" style="319" customWidth="1"/>
    <col min="6" max="8" width="11.85546875" style="319" customWidth="1"/>
    <col min="9" max="9" width="14.28515625" style="319" customWidth="1"/>
    <col min="10" max="10" width="11" style="319" customWidth="1"/>
    <col min="11" max="11" width="12" style="319" customWidth="1"/>
    <col min="12" max="12" width="11.42578125" style="319" customWidth="1"/>
    <col min="13" max="13" width="10.85546875" style="319" customWidth="1"/>
    <col min="14" max="14" width="11.42578125" style="319" customWidth="1"/>
    <col min="15" max="15" width="12.28515625" style="319" customWidth="1"/>
    <col min="16" max="16" width="12.140625" style="319" customWidth="1"/>
    <col min="17" max="17" width="9.42578125" style="319" customWidth="1"/>
    <col min="18" max="18" width="16.140625" style="319" bestFit="1" customWidth="1"/>
    <col min="19" max="19" width="16.140625" style="359" customWidth="1"/>
    <col min="20" max="20" width="9.140625" style="319"/>
    <col min="21" max="21" width="13.42578125" style="319" bestFit="1" customWidth="1"/>
    <col min="22" max="22" width="9.28515625" style="319" bestFit="1" customWidth="1"/>
    <col min="23" max="23" width="9.140625" style="319"/>
    <col min="24" max="24" width="13.5703125" style="319" customWidth="1"/>
    <col min="25" max="25" width="10.5703125" style="319" customWidth="1"/>
    <col min="26" max="26" width="9.140625" style="319"/>
    <col min="27" max="27" width="9.28515625" style="319" bestFit="1" customWidth="1"/>
    <col min="28" max="28" width="11.28515625" style="319" bestFit="1" customWidth="1"/>
    <col min="29" max="29" width="9.140625" style="319"/>
    <col min="30" max="30" width="12.28515625" customWidth="1"/>
    <col min="31" max="31" width="8.85546875" customWidth="1"/>
    <col min="32" max="16384" width="9.140625" style="319"/>
  </cols>
  <sheetData>
    <row r="1" spans="1:31" ht="13.5" thickBot="1" x14ac:dyDescent="0.25"/>
    <row r="2" spans="1:31" x14ac:dyDescent="0.2">
      <c r="A2" s="740" t="s">
        <v>422</v>
      </c>
      <c r="B2" s="741"/>
      <c r="C2" s="742"/>
      <c r="D2" s="743"/>
      <c r="E2" s="740" t="s">
        <v>328</v>
      </c>
      <c r="F2" s="741"/>
      <c r="G2" s="741"/>
      <c r="H2" s="401"/>
      <c r="I2" s="417"/>
      <c r="J2" s="740" t="s">
        <v>420</v>
      </c>
      <c r="K2" s="742"/>
      <c r="L2" s="743"/>
      <c r="M2" s="740" t="s">
        <v>421</v>
      </c>
      <c r="N2" s="742"/>
      <c r="O2" s="743"/>
      <c r="P2" s="740" t="s">
        <v>329</v>
      </c>
      <c r="Q2" s="741"/>
      <c r="R2" s="749"/>
      <c r="AD2" s="114"/>
      <c r="AE2" s="114"/>
    </row>
    <row r="3" spans="1:31" x14ac:dyDescent="0.2">
      <c r="B3" s="320" t="s">
        <v>330</v>
      </c>
      <c r="C3" s="404">
        <f>Afb</f>
        <v>0.18181818181818182</v>
      </c>
      <c r="D3" s="322" t="s">
        <v>28</v>
      </c>
      <c r="E3" s="323" t="s">
        <v>331</v>
      </c>
      <c r="F3" s="404">
        <f>Acs</f>
        <v>8.3333333333333339</v>
      </c>
      <c r="G3" s="322" t="s">
        <v>419</v>
      </c>
      <c r="H3" s="415" t="s">
        <v>347</v>
      </c>
      <c r="I3" s="427">
        <f>gm</f>
        <v>1.1999999999999999E-3</v>
      </c>
      <c r="J3" s="323" t="s">
        <v>438</v>
      </c>
      <c r="K3" s="324">
        <f>Fesr</f>
        <v>16931376.944016635</v>
      </c>
      <c r="L3" s="322" t="s">
        <v>9</v>
      </c>
      <c r="M3" s="323" t="s">
        <v>333</v>
      </c>
      <c r="N3" s="324">
        <f>Fsw/2</f>
        <v>1050000</v>
      </c>
      <c r="O3" s="322" t="s">
        <v>9</v>
      </c>
      <c r="P3" s="325" t="s">
        <v>334</v>
      </c>
      <c r="Q3" s="324">
        <f>Am*Afb*AEA</f>
        <v>74329.067955907085</v>
      </c>
      <c r="R3" s="322" t="s">
        <v>28</v>
      </c>
    </row>
    <row r="4" spans="1:31" x14ac:dyDescent="0.2">
      <c r="B4" s="320" t="s">
        <v>443</v>
      </c>
      <c r="C4" s="324">
        <f>Fz1_u</f>
        <v>6039.577385919717</v>
      </c>
      <c r="D4" s="322" t="s">
        <v>9</v>
      </c>
      <c r="E4" s="323" t="s">
        <v>336</v>
      </c>
      <c r="F4" s="329">
        <f>Am</f>
        <v>5.3230452312173036</v>
      </c>
      <c r="G4" s="322" t="s">
        <v>28</v>
      </c>
      <c r="H4" s="416"/>
      <c r="I4" s="416"/>
      <c r="J4" s="323" t="s">
        <v>437</v>
      </c>
      <c r="K4" s="324">
        <f>Fp_dominant</f>
        <v>53012.815686534734</v>
      </c>
      <c r="L4" s="322" t="s">
        <v>9</v>
      </c>
      <c r="M4" s="323" t="s">
        <v>338</v>
      </c>
      <c r="N4" s="402">
        <f>Q*pole3</f>
        <v>662287.05239310907</v>
      </c>
      <c r="O4" s="322"/>
      <c r="P4" s="325" t="s">
        <v>339</v>
      </c>
      <c r="Q4" s="365">
        <f>AE7</f>
        <v>30.551500000000001</v>
      </c>
      <c r="R4" s="322" t="s">
        <v>2</v>
      </c>
    </row>
    <row r="5" spans="1:31" x14ac:dyDescent="0.2">
      <c r="B5" s="320" t="s">
        <v>442</v>
      </c>
      <c r="C5" s="404">
        <f>Fp1_u</f>
        <v>9.2102150577479364E-2</v>
      </c>
      <c r="D5" s="322" t="s">
        <v>9</v>
      </c>
      <c r="E5" s="323" t="s">
        <v>27</v>
      </c>
      <c r="F5" s="404">
        <f>Q</f>
        <v>0.63074957370772289</v>
      </c>
      <c r="G5" s="322"/>
      <c r="H5" s="416"/>
      <c r="I5" s="416"/>
      <c r="J5" s="323"/>
      <c r="K5" s="324"/>
      <c r="L5" s="322"/>
      <c r="M5" s="323" t="s">
        <v>341</v>
      </c>
      <c r="N5" s="321">
        <f>pole3^2</f>
        <v>1102500000000</v>
      </c>
      <c r="O5" s="322"/>
      <c r="P5" s="325" t="s">
        <v>342</v>
      </c>
      <c r="Q5" s="329">
        <f>AE9</f>
        <v>134.6447138126932</v>
      </c>
      <c r="R5" s="388" t="s">
        <v>399</v>
      </c>
    </row>
    <row r="6" spans="1:31" x14ac:dyDescent="0.2">
      <c r="B6" s="320" t="s">
        <v>343</v>
      </c>
      <c r="C6" s="321">
        <f>AEA</f>
        <v>76800</v>
      </c>
      <c r="D6" s="322" t="s">
        <v>28</v>
      </c>
      <c r="E6" s="323" t="s">
        <v>371</v>
      </c>
      <c r="F6" s="404">
        <f>mc</f>
        <v>1.1955829481253211</v>
      </c>
      <c r="G6" s="415"/>
      <c r="H6" s="418"/>
      <c r="I6" s="328"/>
      <c r="J6" s="326"/>
      <c r="K6" s="327"/>
      <c r="L6" s="328"/>
      <c r="M6" s="326"/>
      <c r="N6" s="430"/>
      <c r="O6" s="328"/>
      <c r="P6" s="400" t="s">
        <v>344</v>
      </c>
      <c r="Q6" s="327">
        <f>180/Pi</f>
        <v>57.295779578552292</v>
      </c>
      <c r="R6" s="328"/>
      <c r="AD6" s="5" t="s">
        <v>46</v>
      </c>
      <c r="AE6" s="5"/>
    </row>
    <row r="7" spans="1:31" ht="13.5" thickBot="1" x14ac:dyDescent="0.25">
      <c r="B7" s="396" t="s">
        <v>441</v>
      </c>
      <c r="C7" s="403">
        <f>Fp2_u</f>
        <v>1042863.4307551206</v>
      </c>
      <c r="D7" s="398" t="s">
        <v>9</v>
      </c>
      <c r="E7" s="397" t="s">
        <v>346</v>
      </c>
      <c r="F7" s="399">
        <f>k</f>
        <v>1.0046533518467526</v>
      </c>
      <c r="G7" s="399"/>
      <c r="H7" s="419"/>
      <c r="I7" s="398"/>
      <c r="J7" s="397"/>
      <c r="K7" s="397"/>
      <c r="L7" s="398"/>
      <c r="M7" s="397"/>
      <c r="N7" s="397"/>
      <c r="O7" s="398"/>
      <c r="P7" s="397"/>
      <c r="Q7" s="397"/>
      <c r="R7" s="398"/>
      <c r="AD7" t="s">
        <v>43</v>
      </c>
      <c r="AE7">
        <f>SUM(AD12:AD613)/1000</f>
        <v>30.551500000000001</v>
      </c>
    </row>
    <row r="8" spans="1:31" x14ac:dyDescent="0.2">
      <c r="B8" s="405"/>
      <c r="C8" s="406"/>
      <c r="F8" s="407"/>
      <c r="G8" s="407"/>
      <c r="H8" s="407"/>
    </row>
    <row r="9" spans="1:31" ht="13.5" thickBot="1" x14ac:dyDescent="0.25">
      <c r="AD9" t="s">
        <v>44</v>
      </c>
      <c r="AE9" s="4">
        <f>SUM(AE13:AE613)</f>
        <v>134.6447138126932</v>
      </c>
    </row>
    <row r="10" spans="1:31" ht="15" x14ac:dyDescent="0.25">
      <c r="A10" s="744" t="s">
        <v>450</v>
      </c>
      <c r="B10" s="738"/>
      <c r="C10" s="750" t="s">
        <v>348</v>
      </c>
      <c r="D10" s="751"/>
      <c r="E10" s="751"/>
      <c r="F10" s="751"/>
      <c r="G10" s="751"/>
      <c r="H10" s="752"/>
      <c r="I10" s="750" t="s">
        <v>349</v>
      </c>
      <c r="J10" s="751"/>
      <c r="K10" s="751"/>
      <c r="L10" s="751"/>
      <c r="M10" s="751"/>
      <c r="N10" s="752"/>
      <c r="O10" s="747" t="s">
        <v>350</v>
      </c>
      <c r="P10" s="748"/>
      <c r="Q10" s="747" t="s">
        <v>351</v>
      </c>
      <c r="R10" s="753"/>
      <c r="S10" s="754"/>
      <c r="X10" s="731" t="s">
        <v>352</v>
      </c>
      <c r="Y10" s="732"/>
      <c r="AA10" s="731" t="s">
        <v>353</v>
      </c>
      <c r="AB10" s="732"/>
    </row>
    <row r="11" spans="1:31" x14ac:dyDescent="0.2">
      <c r="A11" s="745"/>
      <c r="B11" s="739"/>
      <c r="C11" s="733" t="s">
        <v>437</v>
      </c>
      <c r="D11" s="734"/>
      <c r="E11" s="734" t="s">
        <v>438</v>
      </c>
      <c r="F11" s="735"/>
      <c r="G11" s="736" t="s">
        <v>439</v>
      </c>
      <c r="H11" s="737"/>
      <c r="I11" s="733" t="s">
        <v>337</v>
      </c>
      <c r="J11" s="734"/>
      <c r="K11" s="734" t="s">
        <v>332</v>
      </c>
      <c r="L11" s="735"/>
      <c r="M11" s="736" t="s">
        <v>340</v>
      </c>
      <c r="N11" s="737"/>
      <c r="O11" s="733" t="s">
        <v>333</v>
      </c>
      <c r="P11" s="735"/>
      <c r="Q11" s="323"/>
      <c r="R11" s="321"/>
      <c r="S11" s="366"/>
      <c r="X11" s="323"/>
      <c r="Y11" s="322"/>
      <c r="AA11" s="323"/>
      <c r="AB11" s="322"/>
    </row>
    <row r="12" spans="1:31" ht="13.5" thickBot="1" x14ac:dyDescent="0.25">
      <c r="A12" s="746"/>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
      <c r="A13" s="336">
        <v>1</v>
      </c>
      <c r="B13" s="364">
        <f>A13/1000</f>
        <v>1E-3</v>
      </c>
      <c r="C13" s="337">
        <f t="shared" ref="C13:C76" si="0">SQRT(1+(A13/pole1)^2)</f>
        <v>1.0000000001779132</v>
      </c>
      <c r="D13" s="338">
        <f t="shared" ref="D13:D76" si="1">ATAN(A13/pole1)</f>
        <v>1.886336326284573E-5</v>
      </c>
      <c r="E13" s="338">
        <f t="shared" ref="E13:E76" si="2">SQRT(1+(A13/Zero1)^2)</f>
        <v>1.0000000000000018</v>
      </c>
      <c r="F13" s="339">
        <f t="shared" ref="F13:F76" si="3">ATAN(A13/Zero1)</f>
        <v>5.9061941819999938E-8</v>
      </c>
      <c r="G13" s="338">
        <f t="shared" ref="G13:G76" si="4">IF(VIN_nom&gt;Vout, 1, SQRT(1+(A13/z_RHP)^2))</f>
        <v>1</v>
      </c>
      <c r="H13" s="339">
        <f t="shared" ref="H13:H76" si="5">IF(VIN_nom&gt;Vout, 0, -ATAN(A13/z_RHP))</f>
        <v>0</v>
      </c>
      <c r="I13" s="337">
        <f t="shared" ref="I13:I76" si="6">SQRT(1+(A13/Pole2)^2)</f>
        <v>10.903463599636488</v>
      </c>
      <c r="J13" s="340">
        <f t="shared" ref="J13:J76" si="7">ATAN(A13/Pole2)</f>
        <v>1.4789532869283719</v>
      </c>
      <c r="K13" s="338">
        <f t="shared" ref="K13:K76" si="8">SQRT(1+(A13/Zero2)^2)</f>
        <v>1.0000000137074574</v>
      </c>
      <c r="L13" s="339">
        <f t="shared" ref="L13:L76" si="9">ATAN(A13/Zero2)</f>
        <v>1.6557449751252977E-4</v>
      </c>
      <c r="M13" s="337">
        <f t="shared" ref="M13:M76" si="10">SQRT(1+(A13/pole4)^2)</f>
        <v>1.0000000000004596</v>
      </c>
      <c r="N13" s="340">
        <f t="shared" ref="N13:N76" si="11">ATAN(A13/pole4)</f>
        <v>9.5889832791970627E-7</v>
      </c>
      <c r="O13" s="341">
        <f t="shared" ref="O13:O76" si="12">SQRT((1-(V13/pterm2))^2+(A13/pterm1)^2)</f>
        <v>1.0000000000002329</v>
      </c>
      <c r="P13" s="342">
        <f t="shared" ref="P13:P76" si="13">IF((ATAN((A13/pterm1)/(1-A13^2/pterm2))&gt;0),ATAN((A13/pterm1)/(1-A13^2/pterm2)),PI()+ATAN((A13/pterm1)/(1-A13^2/pterm2)))</f>
        <v>1.5099192961522432E-6</v>
      </c>
      <c r="Q13" s="343">
        <f t="shared" ref="Q13:Q76" si="14">20*LOG10(((E13*K13*G13)/(C13*I13*O13*M13))*Adc)</f>
        <v>76.671884297013179</v>
      </c>
      <c r="R13" s="344">
        <f t="shared" ref="R13:R76" si="15">((F13+L13+H13)-(D13+J13+P13+N13))*radconv</f>
        <v>-84.729513674844128</v>
      </c>
      <c r="S13" s="600">
        <f t="shared" ref="S13:S76" si="16">IF(R13&gt;0,R13,R13+180)</f>
        <v>95.270486325155872</v>
      </c>
      <c r="U13" s="319">
        <f>IF(Q13&lt;0,A13,1000000000)</f>
        <v>1000000000</v>
      </c>
      <c r="V13" s="319">
        <f>A13^2</f>
        <v>1</v>
      </c>
      <c r="X13" s="345">
        <f t="shared" ref="X13:X76" si="17">20*LOG10((K13/(I13*M13))*AEA)</f>
        <v>76.955934958547971</v>
      </c>
      <c r="Y13" s="346">
        <f t="shared" ref="Y13:Y76" si="18">(L13-(J13+N13))*radconv</f>
        <v>-84.728349755737327</v>
      </c>
      <c r="AA13" s="345">
        <f t="shared" ref="AA13:AA76" si="19">20*LOG10((E13*G13/(C13*O13))*Acs*Am)</f>
        <v>32.939578207397588</v>
      </c>
      <c r="AB13" s="346">
        <f t="shared" ref="AB13:AB76" si="20">(F13+H13-(D13+P13))*radconv</f>
        <v>-1.1639191067919115E-3</v>
      </c>
      <c r="AD13">
        <f>SUM((Q14&lt;0)*(Q13&gt;0))*A13</f>
        <v>0</v>
      </c>
      <c r="AE13">
        <f t="shared" ref="AE13:AE44" si="21">IF(AD13&gt;0,S11,0)</f>
        <v>0</v>
      </c>
    </row>
    <row r="14" spans="1:31" x14ac:dyDescent="0.2">
      <c r="A14" s="347">
        <v>1.0965</v>
      </c>
      <c r="B14" s="364">
        <f t="shared" ref="B14:B77" si="22">A14/1000</f>
        <v>1.0965E-3</v>
      </c>
      <c r="C14" s="337">
        <f t="shared" si="0"/>
        <v>1.0000000002139071</v>
      </c>
      <c r="D14" s="338">
        <f t="shared" si="1"/>
        <v>2.068367781721402E-5</v>
      </c>
      <c r="E14" s="338">
        <f t="shared" si="2"/>
        <v>1.0000000000000022</v>
      </c>
      <c r="F14" s="339">
        <f t="shared" si="3"/>
        <v>6.4761419205629918E-8</v>
      </c>
      <c r="G14" s="338">
        <f t="shared" si="4"/>
        <v>1</v>
      </c>
      <c r="H14" s="339">
        <f t="shared" si="5"/>
        <v>0</v>
      </c>
      <c r="I14" s="337">
        <f t="shared" si="6"/>
        <v>11.947183892131086</v>
      </c>
      <c r="J14" s="340">
        <f t="shared" si="7"/>
        <v>1.4869965486123078</v>
      </c>
      <c r="K14" s="348">
        <f t="shared" si="8"/>
        <v>1.0000000164806437</v>
      </c>
      <c r="L14" s="349">
        <f t="shared" si="9"/>
        <v>1.8155243618683638E-4</v>
      </c>
      <c r="M14" s="337">
        <f t="shared" si="10"/>
        <v>1.0000000000005529</v>
      </c>
      <c r="N14" s="340">
        <f t="shared" si="11"/>
        <v>1.0514320165638926E-6</v>
      </c>
      <c r="O14" s="341">
        <f t="shared" si="12"/>
        <v>1.00000000000028</v>
      </c>
      <c r="P14" s="342">
        <f t="shared" si="13"/>
        <v>1.6556265082309841E-6</v>
      </c>
      <c r="Q14" s="343">
        <f t="shared" si="14"/>
        <v>75.877862913042719</v>
      </c>
      <c r="R14" s="344">
        <f t="shared" si="15"/>
        <v>-85.189560774910731</v>
      </c>
      <c r="S14" s="346">
        <f t="shared" si="16"/>
        <v>94.810439225089269</v>
      </c>
      <c r="U14" s="319">
        <f t="shared" ref="U14:U77" si="23">IF(Q14&lt;0,A14,1000000000)</f>
        <v>1000000000</v>
      </c>
      <c r="V14" s="319">
        <f t="shared" ref="V14:V77" si="24">A14^2</f>
        <v>1.2023122500000001</v>
      </c>
      <c r="X14" s="345">
        <f t="shared" si="17"/>
        <v>76.161913574890562</v>
      </c>
      <c r="Y14" s="346">
        <f t="shared" si="18"/>
        <v>-85.188284537610159</v>
      </c>
      <c r="AA14" s="345">
        <f t="shared" si="19"/>
        <v>32.939578207084544</v>
      </c>
      <c r="AB14" s="346">
        <f t="shared" si="20"/>
        <v>-1.2762373005688965E-3</v>
      </c>
      <c r="AD14">
        <f t="shared" ref="AD14:AD77" si="25">SUM((Q15&lt;0)*(Q14&gt;0))*A14</f>
        <v>0</v>
      </c>
      <c r="AE14">
        <f t="shared" si="21"/>
        <v>0</v>
      </c>
    </row>
    <row r="15" spans="1:31" x14ac:dyDescent="0.2">
      <c r="A15" s="347">
        <v>1.2022999999999999</v>
      </c>
      <c r="B15" s="364">
        <f t="shared" si="22"/>
        <v>1.2022999999999999E-3</v>
      </c>
      <c r="C15" s="337">
        <f t="shared" si="0"/>
        <v>1.0000000002571781</v>
      </c>
      <c r="D15" s="338">
        <f t="shared" si="1"/>
        <v>2.2679421649720968E-5</v>
      </c>
      <c r="E15" s="338">
        <f t="shared" si="2"/>
        <v>1.0000000000000027</v>
      </c>
      <c r="F15" s="339">
        <f t="shared" si="3"/>
        <v>7.1010172650185879E-8</v>
      </c>
      <c r="G15" s="338">
        <f t="shared" si="4"/>
        <v>1</v>
      </c>
      <c r="H15" s="339">
        <f t="shared" si="5"/>
        <v>0</v>
      </c>
      <c r="I15" s="337">
        <f t="shared" si="6"/>
        <v>13.092230454400056</v>
      </c>
      <c r="J15" s="340">
        <f t="shared" si="7"/>
        <v>1.4943406829266515</v>
      </c>
      <c r="K15" s="348">
        <f t="shared" si="8"/>
        <v>1.0000000198144761</v>
      </c>
      <c r="L15" s="349">
        <f t="shared" si="9"/>
        <v>1.9907021754883081E-4</v>
      </c>
      <c r="M15" s="337">
        <f t="shared" si="10"/>
        <v>1.0000000000006646</v>
      </c>
      <c r="N15" s="340">
        <f t="shared" si="11"/>
        <v>1.1528834596577055E-6</v>
      </c>
      <c r="O15" s="341">
        <f t="shared" si="12"/>
        <v>1.0000000000003366</v>
      </c>
      <c r="P15" s="342">
        <f t="shared" si="13"/>
        <v>1.815375969763961E-6</v>
      </c>
      <c r="Q15" s="343">
        <f t="shared" si="14"/>
        <v>75.082901084121858</v>
      </c>
      <c r="R15" s="344">
        <f t="shared" si="15"/>
        <v>-85.609473936222003</v>
      </c>
      <c r="S15" s="346">
        <f t="shared" si="16"/>
        <v>94.390526063777997</v>
      </c>
      <c r="U15" s="319">
        <f t="shared" si="23"/>
        <v>1000000000</v>
      </c>
      <c r="V15" s="319">
        <f t="shared" si="24"/>
        <v>1.4455252899999997</v>
      </c>
      <c r="X15" s="345">
        <f t="shared" si="17"/>
        <v>75.366951746346032</v>
      </c>
      <c r="Y15" s="346">
        <f t="shared" si="18"/>
        <v>-85.608074556279973</v>
      </c>
      <c r="AA15" s="345">
        <f t="shared" si="19"/>
        <v>32.939578206708205</v>
      </c>
      <c r="AB15" s="346">
        <f t="shared" si="20"/>
        <v>-1.3993799420272558E-3</v>
      </c>
      <c r="AD15">
        <f t="shared" si="25"/>
        <v>0</v>
      </c>
      <c r="AE15">
        <f t="shared" si="21"/>
        <v>0</v>
      </c>
    </row>
    <row r="16" spans="1:31" x14ac:dyDescent="0.2">
      <c r="A16" s="347">
        <v>1.3183</v>
      </c>
      <c r="B16" s="364">
        <f t="shared" si="22"/>
        <v>1.3183000000000001E-3</v>
      </c>
      <c r="C16" s="337">
        <f t="shared" si="0"/>
        <v>1.000000000309198</v>
      </c>
      <c r="D16" s="338">
        <f t="shared" si="1"/>
        <v>2.4867571787233037E-5</v>
      </c>
      <c r="E16" s="338">
        <f t="shared" si="2"/>
        <v>1.0000000000000031</v>
      </c>
      <c r="F16" s="339">
        <f t="shared" si="3"/>
        <v>7.7861357901305852E-8</v>
      </c>
      <c r="G16" s="338">
        <f t="shared" si="4"/>
        <v>1</v>
      </c>
      <c r="H16" s="339">
        <f t="shared" si="5"/>
        <v>0</v>
      </c>
      <c r="I16" s="337">
        <f t="shared" si="6"/>
        <v>14.348344777776504</v>
      </c>
      <c r="J16" s="340">
        <f t="shared" si="7"/>
        <v>1.5010453316189289</v>
      </c>
      <c r="K16" s="348">
        <f t="shared" si="8"/>
        <v>1.0000000238223941</v>
      </c>
      <c r="L16" s="349">
        <f t="shared" si="9"/>
        <v>2.1827685859886361E-4</v>
      </c>
      <c r="M16" s="337">
        <f t="shared" si="10"/>
        <v>1.0000000000007989</v>
      </c>
      <c r="N16" s="340">
        <f t="shared" si="11"/>
        <v>1.2641156656962628E-6</v>
      </c>
      <c r="O16" s="341">
        <f t="shared" si="12"/>
        <v>1.0000000000004048</v>
      </c>
      <c r="P16" s="342">
        <f t="shared" si="13"/>
        <v>1.9905266081177187E-6</v>
      </c>
      <c r="Q16" s="343">
        <f t="shared" si="14"/>
        <v>74.287137868189646</v>
      </c>
      <c r="R16" s="344">
        <f t="shared" si="15"/>
        <v>-85.992662938126614</v>
      </c>
      <c r="S16" s="346">
        <f t="shared" si="16"/>
        <v>94.007337061873386</v>
      </c>
      <c r="U16" s="319">
        <f t="shared" si="23"/>
        <v>1000000000</v>
      </c>
      <c r="V16" s="319">
        <f t="shared" si="24"/>
        <v>1.7379148900000001</v>
      </c>
      <c r="X16" s="345">
        <f t="shared" si="17"/>
        <v>74.571188530866237</v>
      </c>
      <c r="Y16" s="346">
        <f t="shared" si="18"/>
        <v>-85.991128543568252</v>
      </c>
      <c r="AA16" s="345">
        <f t="shared" si="19"/>
        <v>32.939578206255781</v>
      </c>
      <c r="AB16" s="346">
        <f t="shared" si="20"/>
        <v>-1.5343945583590859E-3</v>
      </c>
      <c r="AD16">
        <f t="shared" si="25"/>
        <v>0</v>
      </c>
      <c r="AE16">
        <f t="shared" si="21"/>
        <v>0</v>
      </c>
    </row>
    <row r="17" spans="1:31" x14ac:dyDescent="0.2">
      <c r="A17" s="347">
        <v>1.4454</v>
      </c>
      <c r="B17" s="364">
        <f t="shared" si="22"/>
        <v>1.4454000000000001E-3</v>
      </c>
      <c r="C17" s="337">
        <f t="shared" si="0"/>
        <v>1.0000000003716929</v>
      </c>
      <c r="D17" s="338">
        <f t="shared" si="1"/>
        <v>2.7265105256594938E-5</v>
      </c>
      <c r="E17" s="338">
        <f t="shared" si="2"/>
        <v>1.0000000000000036</v>
      </c>
      <c r="F17" s="339">
        <f t="shared" si="3"/>
        <v>8.5368130706627795E-8</v>
      </c>
      <c r="G17" s="338">
        <f t="shared" si="4"/>
        <v>1</v>
      </c>
      <c r="H17" s="339">
        <f t="shared" si="5"/>
        <v>0</v>
      </c>
      <c r="I17" s="337">
        <f t="shared" si="6"/>
        <v>15.725272786868493</v>
      </c>
      <c r="J17" s="340">
        <f t="shared" si="7"/>
        <v>1.5071614867923717</v>
      </c>
      <c r="K17" s="348">
        <f t="shared" si="8"/>
        <v>1.0000000286373614</v>
      </c>
      <c r="L17" s="349">
        <f t="shared" si="9"/>
        <v>2.3932137632258043E-4</v>
      </c>
      <c r="M17" s="337">
        <f t="shared" si="10"/>
        <v>1.0000000000009606</v>
      </c>
      <c r="N17" s="340">
        <f t="shared" si="11"/>
        <v>1.3859916431746809E-6</v>
      </c>
      <c r="O17" s="341">
        <f t="shared" si="12"/>
        <v>1.0000000000004867</v>
      </c>
      <c r="P17" s="342">
        <f t="shared" si="13"/>
        <v>2.1824373506588017E-6</v>
      </c>
      <c r="Q17" s="343">
        <f t="shared" si="14"/>
        <v>73.491210228052026</v>
      </c>
      <c r="R17" s="344">
        <f t="shared" si="15"/>
        <v>-86.342041971861107</v>
      </c>
      <c r="S17" s="346">
        <f t="shared" si="16"/>
        <v>93.657958028138893</v>
      </c>
      <c r="U17" s="319">
        <f t="shared" si="23"/>
        <v>1000000000</v>
      </c>
      <c r="V17" s="319">
        <f t="shared" si="24"/>
        <v>2.0891811599999999</v>
      </c>
      <c r="X17" s="345">
        <f t="shared" si="17"/>
        <v>73.775260891272154</v>
      </c>
      <c r="Y17" s="346">
        <f t="shared" si="18"/>
        <v>-86.340359643184357</v>
      </c>
      <c r="AA17" s="345">
        <f t="shared" si="19"/>
        <v>32.939578205712252</v>
      </c>
      <c r="AB17" s="346">
        <f t="shared" si="20"/>
        <v>-1.6823286767552374E-3</v>
      </c>
      <c r="AD17">
        <f t="shared" si="25"/>
        <v>0</v>
      </c>
      <c r="AE17">
        <f t="shared" si="21"/>
        <v>0</v>
      </c>
    </row>
    <row r="18" spans="1:31" x14ac:dyDescent="0.2">
      <c r="A18" s="347">
        <v>1.5849</v>
      </c>
      <c r="B18" s="364">
        <f t="shared" si="22"/>
        <v>1.5849E-3</v>
      </c>
      <c r="C18" s="337">
        <f t="shared" si="0"/>
        <v>1.0000000004469016</v>
      </c>
      <c r="D18" s="338">
        <f t="shared" si="1"/>
        <v>2.9896544429922981E-5</v>
      </c>
      <c r="E18" s="338">
        <f t="shared" si="2"/>
        <v>1.0000000000000044</v>
      </c>
      <c r="F18" s="339">
        <f t="shared" si="3"/>
        <v>9.360727159051773E-8</v>
      </c>
      <c r="G18" s="338">
        <f t="shared" si="4"/>
        <v>1</v>
      </c>
      <c r="H18" s="339">
        <f t="shared" si="5"/>
        <v>0</v>
      </c>
      <c r="I18" s="337">
        <f t="shared" si="6"/>
        <v>17.237098888858121</v>
      </c>
      <c r="J18" s="340">
        <f t="shared" si="7"/>
        <v>1.5127493315960219</v>
      </c>
      <c r="K18" s="348">
        <f t="shared" si="8"/>
        <v>1.0000000344318714</v>
      </c>
      <c r="L18" s="349">
        <f t="shared" si="9"/>
        <v>2.6241901748195486E-4</v>
      </c>
      <c r="M18" s="337">
        <f t="shared" si="10"/>
        <v>1.0000000000011549</v>
      </c>
      <c r="N18" s="340">
        <f t="shared" si="11"/>
        <v>1.5197579599192382E-6</v>
      </c>
      <c r="O18" s="341">
        <f t="shared" si="12"/>
        <v>1.0000000000005849</v>
      </c>
      <c r="P18" s="342">
        <f t="shared" si="13"/>
        <v>2.3930710924722227E-6</v>
      </c>
      <c r="Q18" s="343">
        <f t="shared" si="14"/>
        <v>72.693890572379885</v>
      </c>
      <c r="R18" s="344">
        <f t="shared" si="15"/>
        <v>-86.661048529654238</v>
      </c>
      <c r="S18" s="346">
        <f t="shared" si="16"/>
        <v>93.338951470345762</v>
      </c>
      <c r="U18" s="319">
        <f t="shared" si="23"/>
        <v>1000000000</v>
      </c>
      <c r="V18" s="319">
        <f t="shared" si="24"/>
        <v>2.51190801</v>
      </c>
      <c r="X18" s="345">
        <f t="shared" si="17"/>
        <v>72.977941236254111</v>
      </c>
      <c r="Y18" s="346">
        <f t="shared" si="18"/>
        <v>-86.659203834262186</v>
      </c>
      <c r="AA18" s="345">
        <f t="shared" si="19"/>
        <v>32.939578205058154</v>
      </c>
      <c r="AB18" s="346">
        <f t="shared" si="20"/>
        <v>-1.8446953920473561E-3</v>
      </c>
      <c r="AD18">
        <f t="shared" si="25"/>
        <v>0</v>
      </c>
      <c r="AE18">
        <f t="shared" si="21"/>
        <v>0</v>
      </c>
    </row>
    <row r="19" spans="1:31" x14ac:dyDescent="0.2">
      <c r="A19" s="347">
        <v>1.7378</v>
      </c>
      <c r="B19" s="364">
        <f t="shared" si="22"/>
        <v>1.7378000000000001E-3</v>
      </c>
      <c r="C19" s="337">
        <f t="shared" si="0"/>
        <v>1.0000000005372889</v>
      </c>
      <c r="D19" s="338">
        <f t="shared" si="1"/>
        <v>3.2780752670319579E-5</v>
      </c>
      <c r="E19" s="338">
        <f t="shared" si="2"/>
        <v>1.0000000000000053</v>
      </c>
      <c r="F19" s="339">
        <f t="shared" si="3"/>
        <v>1.0263784249479565E-7</v>
      </c>
      <c r="G19" s="338">
        <f t="shared" si="4"/>
        <v>1</v>
      </c>
      <c r="H19" s="339">
        <f t="shared" si="5"/>
        <v>0</v>
      </c>
      <c r="I19" s="337">
        <f t="shared" si="6"/>
        <v>18.894661541081938</v>
      </c>
      <c r="J19" s="340">
        <f t="shared" si="7"/>
        <v>1.517846585943978</v>
      </c>
      <c r="K19" s="348">
        <f t="shared" si="8"/>
        <v>1.0000000413958192</v>
      </c>
      <c r="L19" s="349">
        <f t="shared" si="9"/>
        <v>2.8773535646599383E-4</v>
      </c>
      <c r="M19" s="337">
        <f t="shared" si="10"/>
        <v>1.0000000000013884</v>
      </c>
      <c r="N19" s="340">
        <f t="shared" si="11"/>
        <v>1.6663735142578338E-6</v>
      </c>
      <c r="O19" s="341">
        <f t="shared" si="12"/>
        <v>1.0000000000007034</v>
      </c>
      <c r="P19" s="342">
        <f t="shared" si="13"/>
        <v>2.6239377528541477E-6</v>
      </c>
      <c r="Q19" s="343">
        <f t="shared" si="14"/>
        <v>71.89639175887369</v>
      </c>
      <c r="R19" s="344">
        <f t="shared" si="15"/>
        <v>-86.951835535536162</v>
      </c>
      <c r="S19" s="346">
        <f t="shared" si="16"/>
        <v>93.048164464463838</v>
      </c>
      <c r="U19" s="319">
        <f t="shared" si="23"/>
        <v>1000000000</v>
      </c>
      <c r="V19" s="319">
        <f t="shared" si="24"/>
        <v>3.0199488400000001</v>
      </c>
      <c r="X19" s="345">
        <f t="shared" si="17"/>
        <v>72.180442423534032</v>
      </c>
      <c r="Y19" s="346">
        <f t="shared" si="18"/>
        <v>-86.94981287691283</v>
      </c>
      <c r="AA19" s="345">
        <f t="shared" si="19"/>
        <v>32.939578204272031</v>
      </c>
      <c r="AB19" s="346">
        <f t="shared" si="20"/>
        <v>-2.0226586233330428E-3</v>
      </c>
      <c r="AD19">
        <f t="shared" si="25"/>
        <v>0</v>
      </c>
      <c r="AE19">
        <f t="shared" si="21"/>
        <v>0</v>
      </c>
    </row>
    <row r="20" spans="1:31" x14ac:dyDescent="0.2">
      <c r="A20" s="347">
        <v>1.9055</v>
      </c>
      <c r="B20" s="364">
        <f t="shared" si="22"/>
        <v>1.9055000000000001E-3</v>
      </c>
      <c r="C20" s="337">
        <f t="shared" si="0"/>
        <v>1.0000000006459906</v>
      </c>
      <c r="D20" s="338">
        <f t="shared" si="1"/>
        <v>3.5944138686136116E-5</v>
      </c>
      <c r="E20" s="338">
        <f t="shared" si="2"/>
        <v>1.0000000000000062</v>
      </c>
      <c r="F20" s="339">
        <f t="shared" si="3"/>
        <v>1.1254253013800953E-7</v>
      </c>
      <c r="G20" s="338">
        <f t="shared" si="4"/>
        <v>1</v>
      </c>
      <c r="H20" s="339">
        <f t="shared" si="5"/>
        <v>0</v>
      </c>
      <c r="I20" s="337">
        <f t="shared" si="6"/>
        <v>20.71313822298702</v>
      </c>
      <c r="J20" s="340">
        <f t="shared" si="7"/>
        <v>1.5224990158435436</v>
      </c>
      <c r="K20" s="348">
        <f t="shared" si="8"/>
        <v>1.0000000497708204</v>
      </c>
      <c r="L20" s="349">
        <f t="shared" si="9"/>
        <v>3.1550219742474539E-4</v>
      </c>
      <c r="M20" s="337">
        <f t="shared" si="10"/>
        <v>1.0000000000016693</v>
      </c>
      <c r="N20" s="340">
        <f t="shared" si="11"/>
        <v>1.8271807638495269E-6</v>
      </c>
      <c r="O20" s="341">
        <f t="shared" si="12"/>
        <v>1.0000000000008455</v>
      </c>
      <c r="P20" s="342">
        <f t="shared" si="13"/>
        <v>2.8771512188192126E-6</v>
      </c>
      <c r="Q20" s="343">
        <f t="shared" si="14"/>
        <v>71.098256100913289</v>
      </c>
      <c r="R20" s="344">
        <f t="shared" si="15"/>
        <v>-87.217013613577919</v>
      </c>
      <c r="S20" s="346">
        <f t="shared" si="16"/>
        <v>92.782986386422081</v>
      </c>
      <c r="U20" s="319">
        <f t="shared" si="23"/>
        <v>1000000000</v>
      </c>
      <c r="V20" s="319">
        <f t="shared" si="24"/>
        <v>3.63093025</v>
      </c>
      <c r="X20" s="345">
        <f t="shared" si="17"/>
        <v>71.382306766519022</v>
      </c>
      <c r="Y20" s="346">
        <f t="shared" si="18"/>
        <v>-87.214795765720567</v>
      </c>
      <c r="AA20" s="345">
        <f t="shared" si="19"/>
        <v>32.93957820332664</v>
      </c>
      <c r="AB20" s="346">
        <f t="shared" si="20"/>
        <v>-2.2178478573493979E-3</v>
      </c>
      <c r="AD20">
        <f t="shared" si="25"/>
        <v>0</v>
      </c>
      <c r="AE20">
        <f t="shared" si="21"/>
        <v>0</v>
      </c>
    </row>
    <row r="21" spans="1:31" x14ac:dyDescent="0.2">
      <c r="A21" s="347">
        <v>2.0893000000000002</v>
      </c>
      <c r="B21" s="364">
        <f t="shared" si="22"/>
        <v>2.0893000000000001E-3</v>
      </c>
      <c r="C21" s="337">
        <f t="shared" si="0"/>
        <v>1.0000000007766223</v>
      </c>
      <c r="D21" s="338">
        <f t="shared" si="1"/>
        <v>3.9411224849333013E-5</v>
      </c>
      <c r="E21" s="338">
        <f t="shared" si="2"/>
        <v>1.0000000000000075</v>
      </c>
      <c r="F21" s="339">
        <f t="shared" si="3"/>
        <v>1.233981150445254E-7</v>
      </c>
      <c r="G21" s="338">
        <f t="shared" si="4"/>
        <v>1</v>
      </c>
      <c r="H21" s="339">
        <f t="shared" si="5"/>
        <v>0</v>
      </c>
      <c r="I21" s="337">
        <f t="shared" si="6"/>
        <v>22.706625860297859</v>
      </c>
      <c r="J21" s="340">
        <f t="shared" si="7"/>
        <v>1.5267420695776825</v>
      </c>
      <c r="K21" s="348">
        <f t="shared" si="8"/>
        <v>1.0000000598354413</v>
      </c>
      <c r="L21" s="349">
        <f t="shared" si="9"/>
        <v>3.4593478701474569E-4</v>
      </c>
      <c r="M21" s="337">
        <f t="shared" si="10"/>
        <v>1.0000000000020068</v>
      </c>
      <c r="N21" s="340">
        <f t="shared" si="11"/>
        <v>2.0034262765205761E-6</v>
      </c>
      <c r="O21" s="341">
        <f t="shared" si="12"/>
        <v>1.0000000000010165</v>
      </c>
      <c r="P21" s="342">
        <f t="shared" si="13"/>
        <v>3.1546743854524437E-6</v>
      </c>
      <c r="Q21" s="343">
        <f t="shared" si="14"/>
        <v>70.300122171686681</v>
      </c>
      <c r="R21" s="344">
        <f t="shared" si="15"/>
        <v>-87.458603052579562</v>
      </c>
      <c r="S21" s="346">
        <f t="shared" si="16"/>
        <v>92.541396947420438</v>
      </c>
      <c r="U21" s="319">
        <f t="shared" si="23"/>
        <v>1000000000</v>
      </c>
      <c r="V21" s="319">
        <f t="shared" si="24"/>
        <v>4.3651744900000002</v>
      </c>
      <c r="X21" s="345">
        <f t="shared" si="17"/>
        <v>70.584172838428557</v>
      </c>
      <c r="Y21" s="346">
        <f t="shared" si="18"/>
        <v>-87.456171276390634</v>
      </c>
      <c r="AA21" s="345">
        <f t="shared" si="19"/>
        <v>32.939578202190511</v>
      </c>
      <c r="AB21" s="346">
        <f t="shared" si="20"/>
        <v>-2.4317761889191352E-3</v>
      </c>
      <c r="AD21">
        <f t="shared" si="25"/>
        <v>0</v>
      </c>
      <c r="AE21">
        <f t="shared" si="21"/>
        <v>0</v>
      </c>
    </row>
    <row r="22" spans="1:31" x14ac:dyDescent="0.2">
      <c r="A22" s="347">
        <v>2.2909000000000002</v>
      </c>
      <c r="B22" s="364">
        <f t="shared" si="22"/>
        <v>2.2909000000000002E-3</v>
      </c>
      <c r="C22" s="337">
        <f t="shared" si="0"/>
        <v>1.0000000009337282</v>
      </c>
      <c r="D22" s="338">
        <f t="shared" si="1"/>
        <v>4.321407887707872E-5</v>
      </c>
      <c r="E22" s="338">
        <f t="shared" si="2"/>
        <v>1.0000000000000091</v>
      </c>
      <c r="F22" s="339">
        <f t="shared" si="3"/>
        <v>1.3530500251543719E-7</v>
      </c>
      <c r="G22" s="338">
        <f t="shared" si="4"/>
        <v>1</v>
      </c>
      <c r="H22" s="339">
        <f t="shared" si="5"/>
        <v>0</v>
      </c>
      <c r="I22" s="337">
        <f t="shared" si="6"/>
        <v>24.893562762199622</v>
      </c>
      <c r="J22" s="340">
        <f t="shared" si="7"/>
        <v>1.530614487137818</v>
      </c>
      <c r="K22" s="348">
        <f t="shared" si="8"/>
        <v>1.0000000719397879</v>
      </c>
      <c r="L22" s="349">
        <f t="shared" si="9"/>
        <v>3.7931460162587245E-4</v>
      </c>
      <c r="M22" s="337">
        <f t="shared" si="10"/>
        <v>1.0000000000024127</v>
      </c>
      <c r="N22" s="340">
        <f t="shared" si="11"/>
        <v>2.1967401794283952E-6</v>
      </c>
      <c r="O22" s="341">
        <f t="shared" si="12"/>
        <v>1.0000000000012221</v>
      </c>
      <c r="P22" s="342">
        <f t="shared" si="13"/>
        <v>3.4590741155573357E-6</v>
      </c>
      <c r="Q22" s="343">
        <f t="shared" si="14"/>
        <v>69.501433213270104</v>
      </c>
      <c r="R22" s="344">
        <f t="shared" si="15"/>
        <v>-87.67880943520322</v>
      </c>
      <c r="S22" s="346">
        <f t="shared" si="16"/>
        <v>92.32119056479678</v>
      </c>
      <c r="U22" s="319">
        <f t="shared" si="23"/>
        <v>1000000000</v>
      </c>
      <c r="V22" s="319">
        <f t="shared" si="24"/>
        <v>5.2482228100000006</v>
      </c>
      <c r="X22" s="345">
        <f t="shared" si="17"/>
        <v>69.785483881378354</v>
      </c>
      <c r="Y22" s="346">
        <f t="shared" si="18"/>
        <v>-87.676143012922722</v>
      </c>
      <c r="AA22" s="345">
        <f t="shared" si="19"/>
        <v>32.93957820082413</v>
      </c>
      <c r="AB22" s="346">
        <f t="shared" si="20"/>
        <v>-2.6664222805021236E-3</v>
      </c>
      <c r="AD22">
        <f t="shared" si="25"/>
        <v>0</v>
      </c>
      <c r="AE22">
        <f t="shared" si="21"/>
        <v>0</v>
      </c>
    </row>
    <row r="23" spans="1:31" x14ac:dyDescent="0.2">
      <c r="A23" s="347">
        <v>2.5118999999999998</v>
      </c>
      <c r="B23" s="364">
        <f t="shared" si="22"/>
        <v>2.5118999999999996E-3</v>
      </c>
      <c r="C23" s="337">
        <f t="shared" si="0"/>
        <v>1.0000000011225687</v>
      </c>
      <c r="D23" s="338">
        <f t="shared" si="1"/>
        <v>4.7382882150101849E-5</v>
      </c>
      <c r="E23" s="338">
        <f t="shared" si="2"/>
        <v>1.0000000000000111</v>
      </c>
      <c r="F23" s="339">
        <f t="shared" si="3"/>
        <v>1.4835769165765692E-7</v>
      </c>
      <c r="G23" s="338">
        <f t="shared" si="4"/>
        <v>1</v>
      </c>
      <c r="H23" s="339">
        <f t="shared" si="5"/>
        <v>0</v>
      </c>
      <c r="I23" s="337">
        <f t="shared" si="6"/>
        <v>27.291305805070753</v>
      </c>
      <c r="J23" s="340">
        <f t="shared" si="7"/>
        <v>1.5341464166898326</v>
      </c>
      <c r="K23" s="348">
        <f t="shared" si="8"/>
        <v>1.0000000864891396</v>
      </c>
      <c r="L23" s="349">
        <f t="shared" si="9"/>
        <v>4.1590656012147103E-4</v>
      </c>
      <c r="M23" s="337">
        <f t="shared" si="10"/>
        <v>1.0000000000029008</v>
      </c>
      <c r="N23" s="340">
        <f t="shared" si="11"/>
        <v>2.4086567098975905E-6</v>
      </c>
      <c r="O23" s="341">
        <f t="shared" si="12"/>
        <v>1.0000000000014695</v>
      </c>
      <c r="P23" s="342">
        <f t="shared" si="13"/>
        <v>3.7927662800077813E-6</v>
      </c>
      <c r="Q23" s="343">
        <f t="shared" si="14"/>
        <v>68.702688165635976</v>
      </c>
      <c r="R23" s="344">
        <f t="shared" si="15"/>
        <v>-87.879346895559053</v>
      </c>
      <c r="S23" s="346">
        <f t="shared" si="16"/>
        <v>92.120653104440947</v>
      </c>
      <c r="U23" s="319">
        <f t="shared" si="23"/>
        <v>1000000000</v>
      </c>
      <c r="V23" s="319">
        <f t="shared" si="24"/>
        <v>6.309641609999999</v>
      </c>
      <c r="X23" s="345">
        <f t="shared" si="17"/>
        <v>68.986738835386603</v>
      </c>
      <c r="Y23" s="346">
        <f t="shared" si="18"/>
        <v>-87.876423247156424</v>
      </c>
      <c r="AA23" s="345">
        <f t="shared" si="19"/>
        <v>32.939578199181753</v>
      </c>
      <c r="AB23" s="346">
        <f t="shared" si="20"/>
        <v>-2.9236484026410473E-3</v>
      </c>
      <c r="AD23">
        <f t="shared" si="25"/>
        <v>0</v>
      </c>
      <c r="AE23">
        <f t="shared" si="21"/>
        <v>0</v>
      </c>
    </row>
    <row r="24" spans="1:31" x14ac:dyDescent="0.2">
      <c r="A24" s="347">
        <v>2.7542</v>
      </c>
      <c r="B24" s="364">
        <f t="shared" si="22"/>
        <v>2.7542000000000001E-3</v>
      </c>
      <c r="C24" s="337">
        <f t="shared" si="0"/>
        <v>1.0000000013495818</v>
      </c>
      <c r="D24" s="338">
        <f t="shared" si="1"/>
        <v>5.1953475057948209E-5</v>
      </c>
      <c r="E24" s="338">
        <f t="shared" si="2"/>
        <v>1.0000000000000133</v>
      </c>
      <c r="F24" s="339">
        <f t="shared" si="3"/>
        <v>1.6266840016064258E-7</v>
      </c>
      <c r="G24" s="338">
        <f t="shared" si="4"/>
        <v>1</v>
      </c>
      <c r="H24" s="339">
        <f t="shared" si="5"/>
        <v>0</v>
      </c>
      <c r="I24" s="337">
        <f t="shared" si="6"/>
        <v>29.920469053742153</v>
      </c>
      <c r="J24" s="340">
        <f t="shared" si="7"/>
        <v>1.5373681655313229</v>
      </c>
      <c r="K24" s="348">
        <f t="shared" si="8"/>
        <v>1.000000103979525</v>
      </c>
      <c r="L24" s="349">
        <f t="shared" si="9"/>
        <v>4.5602525360478147E-4</v>
      </c>
      <c r="M24" s="337">
        <f t="shared" si="10"/>
        <v>1.0000000000034874</v>
      </c>
      <c r="N24" s="340">
        <f t="shared" si="11"/>
        <v>2.6409977747511242E-6</v>
      </c>
      <c r="O24" s="341">
        <f t="shared" si="12"/>
        <v>1.0000000000017666</v>
      </c>
      <c r="P24" s="342">
        <f t="shared" si="13"/>
        <v>4.1586197254665362E-6</v>
      </c>
      <c r="Q24" s="343">
        <f t="shared" si="14"/>
        <v>67.903806681165605</v>
      </c>
      <c r="R24" s="344">
        <f t="shared" si="15"/>
        <v>-88.061936204981151</v>
      </c>
      <c r="S24" s="346">
        <f t="shared" si="16"/>
        <v>91.938063795018849</v>
      </c>
      <c r="U24" s="319">
        <f t="shared" si="23"/>
        <v>1000000000</v>
      </c>
      <c r="V24" s="319">
        <f t="shared" si="24"/>
        <v>7.5856176399999997</v>
      </c>
      <c r="X24" s="345">
        <f t="shared" si="17"/>
        <v>68.187857352890603</v>
      </c>
      <c r="Y24" s="346">
        <f t="shared" si="18"/>
        <v>-88.058730538979546</v>
      </c>
      <c r="AA24" s="345">
        <f t="shared" si="19"/>
        <v>32.939578197207382</v>
      </c>
      <c r="AB24" s="346">
        <f t="shared" si="20"/>
        <v>-3.2056660016013656E-3</v>
      </c>
      <c r="AD24">
        <f t="shared" si="25"/>
        <v>0</v>
      </c>
      <c r="AE24">
        <f t="shared" si="21"/>
        <v>0</v>
      </c>
    </row>
    <row r="25" spans="1:31" x14ac:dyDescent="0.2">
      <c r="A25" s="347">
        <v>3.02</v>
      </c>
      <c r="B25" s="364">
        <f t="shared" si="22"/>
        <v>3.0200000000000001E-3</v>
      </c>
      <c r="C25" s="337">
        <f t="shared" si="0"/>
        <v>1.0000000016226398</v>
      </c>
      <c r="D25" s="338">
        <f t="shared" si="1"/>
        <v>5.6967356998925937E-5</v>
      </c>
      <c r="E25" s="338">
        <f t="shared" si="2"/>
        <v>1.000000000000016</v>
      </c>
      <c r="F25" s="339">
        <f t="shared" si="3"/>
        <v>1.7836706429639813E-7</v>
      </c>
      <c r="G25" s="338">
        <f t="shared" si="4"/>
        <v>1</v>
      </c>
      <c r="H25" s="339">
        <f t="shared" si="5"/>
        <v>0</v>
      </c>
      <c r="I25" s="337">
        <f t="shared" si="6"/>
        <v>32.804924670558229</v>
      </c>
      <c r="J25" s="340">
        <f t="shared" si="7"/>
        <v>1.540308375792468</v>
      </c>
      <c r="K25" s="348">
        <f t="shared" si="8"/>
        <v>1.0000001250174864</v>
      </c>
      <c r="L25" s="349">
        <f t="shared" si="9"/>
        <v>5.0003494538190417E-4</v>
      </c>
      <c r="M25" s="337">
        <f t="shared" si="10"/>
        <v>1.0000000000041931</v>
      </c>
      <c r="N25" s="340">
        <f t="shared" si="11"/>
        <v>2.8958729503103054E-6</v>
      </c>
      <c r="O25" s="341">
        <f t="shared" si="12"/>
        <v>1.0000000000021241</v>
      </c>
      <c r="P25" s="342">
        <f t="shared" si="13"/>
        <v>4.5599562743852212E-6</v>
      </c>
      <c r="Q25" s="343">
        <f t="shared" si="14"/>
        <v>67.104393915766948</v>
      </c>
      <c r="R25" s="344">
        <f t="shared" si="15"/>
        <v>-88.228200247388585</v>
      </c>
      <c r="S25" s="346">
        <f t="shared" si="16"/>
        <v>91.771799752611415</v>
      </c>
      <c r="U25" s="319">
        <f t="shared" si="23"/>
        <v>1000000000</v>
      </c>
      <c r="V25" s="319">
        <f t="shared" si="24"/>
        <v>9.1204000000000001</v>
      </c>
      <c r="X25" s="345">
        <f t="shared" si="17"/>
        <v>67.388444589866779</v>
      </c>
      <c r="Y25" s="346">
        <f t="shared" si="18"/>
        <v>-88.22468521168922</v>
      </c>
      <c r="AA25" s="345">
        <f t="shared" si="19"/>
        <v>32.939578194832549</v>
      </c>
      <c r="AB25" s="346">
        <f t="shared" si="20"/>
        <v>-3.5150356993681716E-3</v>
      </c>
      <c r="AD25">
        <f t="shared" si="25"/>
        <v>0</v>
      </c>
      <c r="AE25">
        <f t="shared" si="21"/>
        <v>0</v>
      </c>
    </row>
    <row r="26" spans="1:31" x14ac:dyDescent="0.2">
      <c r="A26" s="347">
        <v>3.3113000000000001</v>
      </c>
      <c r="B26" s="364">
        <f t="shared" si="22"/>
        <v>3.3113000000000001E-3</v>
      </c>
      <c r="C26" s="337">
        <f t="shared" si="0"/>
        <v>1.0000000019507667</v>
      </c>
      <c r="D26" s="338">
        <f t="shared" si="1"/>
        <v>6.2462254698436793E-5</v>
      </c>
      <c r="E26" s="338">
        <f t="shared" si="2"/>
        <v>1.0000000000000191</v>
      </c>
      <c r="F26" s="339">
        <f t="shared" si="3"/>
        <v>1.9557180794856354E-7</v>
      </c>
      <c r="G26" s="338">
        <f t="shared" si="4"/>
        <v>1</v>
      </c>
      <c r="H26" s="339">
        <f t="shared" si="5"/>
        <v>0</v>
      </c>
      <c r="I26" s="337">
        <f t="shared" si="6"/>
        <v>35.966376671723168</v>
      </c>
      <c r="J26" s="340">
        <f t="shared" si="7"/>
        <v>1.5429889973173971</v>
      </c>
      <c r="K26" s="348">
        <f t="shared" si="8"/>
        <v>1.0000001502982518</v>
      </c>
      <c r="L26" s="349">
        <f t="shared" si="9"/>
        <v>5.4826678368777684E-4</v>
      </c>
      <c r="M26" s="337">
        <f t="shared" si="10"/>
        <v>1.0000000000050409</v>
      </c>
      <c r="N26" s="340">
        <f t="shared" si="11"/>
        <v>3.1752000332308263E-6</v>
      </c>
      <c r="O26" s="341">
        <f t="shared" si="12"/>
        <v>1.0000000000025537</v>
      </c>
      <c r="P26" s="342">
        <f t="shared" si="13"/>
        <v>4.9997957653562508E-6</v>
      </c>
      <c r="Q26" s="343">
        <f t="shared" si="14"/>
        <v>66.305241263416306</v>
      </c>
      <c r="R26" s="344">
        <f t="shared" si="15"/>
        <v>-88.379380120535899</v>
      </c>
      <c r="S26" s="346">
        <f t="shared" si="16"/>
        <v>91.620619879464101</v>
      </c>
      <c r="U26" s="319">
        <f t="shared" si="23"/>
        <v>1000000000</v>
      </c>
      <c r="V26" s="319">
        <f t="shared" si="24"/>
        <v>10.964707690000001</v>
      </c>
      <c r="X26" s="345">
        <f t="shared" si="17"/>
        <v>66.589291940369918</v>
      </c>
      <c r="Y26" s="346">
        <f t="shared" si="18"/>
        <v>-88.375526035201801</v>
      </c>
      <c r="AA26" s="345">
        <f t="shared" si="19"/>
        <v>32.939578191978775</v>
      </c>
      <c r="AB26" s="346">
        <f t="shared" si="20"/>
        <v>-3.8540853340906581E-3</v>
      </c>
      <c r="AD26">
        <f t="shared" si="25"/>
        <v>0</v>
      </c>
      <c r="AE26">
        <f t="shared" si="21"/>
        <v>0</v>
      </c>
    </row>
    <row r="27" spans="1:31" x14ac:dyDescent="0.2">
      <c r="A27" s="347">
        <v>3.6307999999999998</v>
      </c>
      <c r="B27" s="364">
        <f t="shared" si="22"/>
        <v>3.6308E-3</v>
      </c>
      <c r="C27" s="337">
        <f t="shared" si="0"/>
        <v>1.0000000023453783</v>
      </c>
      <c r="D27" s="338">
        <f t="shared" si="1"/>
        <v>6.8489099235775116E-5</v>
      </c>
      <c r="E27" s="338">
        <f t="shared" si="2"/>
        <v>1.0000000000000231</v>
      </c>
      <c r="F27" s="339">
        <f t="shared" si="3"/>
        <v>2.1444209836005274E-7</v>
      </c>
      <c r="G27" s="338">
        <f t="shared" si="4"/>
        <v>1</v>
      </c>
      <c r="H27" s="339">
        <f t="shared" si="5"/>
        <v>0</v>
      </c>
      <c r="I27" s="337">
        <f t="shared" si="6"/>
        <v>39.434127895096964</v>
      </c>
      <c r="J27" s="340">
        <f t="shared" si="7"/>
        <v>1.5454348629545709</v>
      </c>
      <c r="K27" s="348">
        <f t="shared" si="8"/>
        <v>1.0000001807014003</v>
      </c>
      <c r="L27" s="349">
        <f t="shared" si="9"/>
        <v>6.0116781864090441E-4</v>
      </c>
      <c r="M27" s="337">
        <f t="shared" si="10"/>
        <v>1.0000000000060607</v>
      </c>
      <c r="N27" s="340">
        <f t="shared" si="11"/>
        <v>3.4815680489978692E-6</v>
      </c>
      <c r="O27" s="341">
        <f t="shared" si="12"/>
        <v>1.0000000000030702</v>
      </c>
      <c r="P27" s="342">
        <f t="shared" si="13"/>
        <v>5.4822149804793863E-6</v>
      </c>
      <c r="Q27" s="343">
        <f t="shared" si="14"/>
        <v>65.505730477049909</v>
      </c>
      <c r="R27" s="344">
        <f t="shared" si="15"/>
        <v>-88.516876318671478</v>
      </c>
      <c r="S27" s="346">
        <f t="shared" si="16"/>
        <v>91.483123681328522</v>
      </c>
      <c r="U27" s="319">
        <f t="shared" si="23"/>
        <v>1000000000</v>
      </c>
      <c r="V27" s="319">
        <f t="shared" si="24"/>
        <v>13.182708639999998</v>
      </c>
      <c r="X27" s="345">
        <f t="shared" si="17"/>
        <v>65.789781157435527</v>
      </c>
      <c r="Y27" s="346">
        <f t="shared" si="18"/>
        <v>-88.512650361184214</v>
      </c>
      <c r="AA27" s="345">
        <f t="shared" si="19"/>
        <v>32.939578188546768</v>
      </c>
      <c r="AB27" s="346">
        <f t="shared" si="20"/>
        <v>-4.2259574872703489E-3</v>
      </c>
      <c r="AD27">
        <f t="shared" si="25"/>
        <v>0</v>
      </c>
      <c r="AE27">
        <f t="shared" si="21"/>
        <v>0</v>
      </c>
    </row>
    <row r="28" spans="1:31" x14ac:dyDescent="0.2">
      <c r="A28" s="347">
        <v>3.9811000000000001</v>
      </c>
      <c r="B28" s="364">
        <f t="shared" si="22"/>
        <v>3.9811000000000004E-3</v>
      </c>
      <c r="C28" s="337">
        <f t="shared" si="0"/>
        <v>1.0000000028197749</v>
      </c>
      <c r="D28" s="338">
        <f t="shared" si="1"/>
        <v>7.5096935353451336E-5</v>
      </c>
      <c r="E28" s="338">
        <f t="shared" si="2"/>
        <v>1.0000000000000275</v>
      </c>
      <c r="F28" s="339">
        <f t="shared" si="3"/>
        <v>2.3513149657959769E-7</v>
      </c>
      <c r="G28" s="338">
        <f t="shared" si="4"/>
        <v>1</v>
      </c>
      <c r="H28" s="339">
        <f t="shared" si="5"/>
        <v>0</v>
      </c>
      <c r="I28" s="337">
        <f t="shared" si="6"/>
        <v>43.236398034424269</v>
      </c>
      <c r="J28" s="340">
        <f t="shared" si="7"/>
        <v>1.5476656030815084</v>
      </c>
      <c r="K28" s="348">
        <f t="shared" si="8"/>
        <v>1.0000002172516231</v>
      </c>
      <c r="L28" s="349">
        <f t="shared" si="9"/>
        <v>6.5916854260052627E-4</v>
      </c>
      <c r="M28" s="337">
        <f t="shared" si="10"/>
        <v>1.0000000000072866</v>
      </c>
      <c r="N28" s="340">
        <f t="shared" si="11"/>
        <v>3.8174701332637689E-6</v>
      </c>
      <c r="O28" s="341">
        <f t="shared" si="12"/>
        <v>1.0000000000036913</v>
      </c>
      <c r="P28" s="342">
        <f t="shared" si="13"/>
        <v>6.0111397099248235E-6</v>
      </c>
      <c r="Q28" s="343">
        <f t="shared" si="14"/>
        <v>64.706185476977979</v>
      </c>
      <c r="R28" s="344">
        <f t="shared" si="15"/>
        <v>-88.64179208321913</v>
      </c>
      <c r="S28" s="346">
        <f t="shared" si="16"/>
        <v>91.35820791678087</v>
      </c>
      <c r="U28" s="319">
        <f t="shared" si="23"/>
        <v>1000000000</v>
      </c>
      <c r="V28" s="319">
        <f t="shared" si="24"/>
        <v>15.849157210000001</v>
      </c>
      <c r="X28" s="345">
        <f t="shared" si="17"/>
        <v>64.990236161489491</v>
      </c>
      <c r="Y28" s="346">
        <f t="shared" si="18"/>
        <v>-88.637158404870661</v>
      </c>
      <c r="AA28" s="345">
        <f t="shared" si="19"/>
        <v>32.939578184420853</v>
      </c>
      <c r="AB28" s="346">
        <f t="shared" si="20"/>
        <v>-4.6336783484718742E-3</v>
      </c>
      <c r="AD28">
        <f t="shared" si="25"/>
        <v>0</v>
      </c>
      <c r="AE28">
        <f t="shared" si="21"/>
        <v>0</v>
      </c>
    </row>
    <row r="29" spans="1:31" x14ac:dyDescent="0.2">
      <c r="A29" s="347">
        <v>4.3651999999999997</v>
      </c>
      <c r="B29" s="364">
        <f t="shared" si="22"/>
        <v>4.3651999999999996E-3</v>
      </c>
      <c r="C29" s="337">
        <f t="shared" si="0"/>
        <v>1.0000000033901315</v>
      </c>
      <c r="D29" s="338">
        <f t="shared" si="1"/>
        <v>8.2342353138639769E-5</v>
      </c>
      <c r="E29" s="338">
        <f t="shared" si="2"/>
        <v>1.0000000000000333</v>
      </c>
      <c r="F29" s="339">
        <f t="shared" si="3"/>
        <v>2.5781718843265827E-7</v>
      </c>
      <c r="G29" s="338">
        <f t="shared" si="4"/>
        <v>1</v>
      </c>
      <c r="H29" s="339">
        <f t="shared" si="5"/>
        <v>0</v>
      </c>
      <c r="I29" s="337">
        <f t="shared" si="6"/>
        <v>47.405750077965415</v>
      </c>
      <c r="J29" s="340">
        <f t="shared" si="7"/>
        <v>1.5497002746048214</v>
      </c>
      <c r="K29" s="348">
        <f t="shared" si="8"/>
        <v>1.000000261195169</v>
      </c>
      <c r="L29" s="349">
        <f t="shared" si="9"/>
        <v>7.2276567729128132E-4</v>
      </c>
      <c r="M29" s="337">
        <f t="shared" si="10"/>
        <v>1.0000000000087605</v>
      </c>
      <c r="N29" s="340">
        <f t="shared" si="11"/>
        <v>4.1857829810119379E-6</v>
      </c>
      <c r="O29" s="341">
        <f t="shared" si="12"/>
        <v>1.0000000000044378</v>
      </c>
      <c r="P29" s="342">
        <f t="shared" si="13"/>
        <v>6.5910997115812745E-6</v>
      </c>
      <c r="Q29" s="343">
        <f t="shared" si="14"/>
        <v>63.906555527884592</v>
      </c>
      <c r="R29" s="344">
        <f t="shared" si="15"/>
        <v>-88.755194491020688</v>
      </c>
      <c r="S29" s="346">
        <f t="shared" si="16"/>
        <v>91.244805508979312</v>
      </c>
      <c r="U29" s="319">
        <f t="shared" si="23"/>
        <v>1000000000</v>
      </c>
      <c r="V29" s="319">
        <f t="shared" si="24"/>
        <v>19.054971039999998</v>
      </c>
      <c r="X29" s="345">
        <f t="shared" si="17"/>
        <v>64.190606217356617</v>
      </c>
      <c r="Y29" s="346">
        <f t="shared" si="18"/>
        <v>-88.750113751345836</v>
      </c>
      <c r="AA29" s="345">
        <f t="shared" si="19"/>
        <v>32.939578179460362</v>
      </c>
      <c r="AB29" s="346">
        <f t="shared" si="20"/>
        <v>-5.0807396748658385E-3</v>
      </c>
      <c r="AD29">
        <f t="shared" si="25"/>
        <v>0</v>
      </c>
      <c r="AE29">
        <f t="shared" si="21"/>
        <v>0</v>
      </c>
    </row>
    <row r="30" spans="1:31" x14ac:dyDescent="0.2">
      <c r="A30" s="347">
        <v>4.7862999999999998</v>
      </c>
      <c r="B30" s="364">
        <f t="shared" si="22"/>
        <v>4.7862999999999994E-3</v>
      </c>
      <c r="C30" s="337">
        <f t="shared" si="0"/>
        <v>1.0000000040757551</v>
      </c>
      <c r="D30" s="338">
        <f t="shared" si="1"/>
        <v>9.0285715350345549E-5</v>
      </c>
      <c r="E30" s="338">
        <f t="shared" si="2"/>
        <v>1.00000000000004</v>
      </c>
      <c r="F30" s="339">
        <f t="shared" si="3"/>
        <v>2.8268817213305849E-7</v>
      </c>
      <c r="G30" s="338">
        <f t="shared" si="4"/>
        <v>1</v>
      </c>
      <c r="H30" s="339">
        <f t="shared" si="5"/>
        <v>0</v>
      </c>
      <c r="I30" s="337">
        <f t="shared" si="6"/>
        <v>51.976919570713953</v>
      </c>
      <c r="J30" s="340">
        <f t="shared" si="7"/>
        <v>1.5515558310061712</v>
      </c>
      <c r="K30" s="348">
        <f t="shared" si="8"/>
        <v>1.0000003140195364</v>
      </c>
      <c r="L30" s="349">
        <f t="shared" si="9"/>
        <v>7.9248905878153309E-4</v>
      </c>
      <c r="M30" s="337">
        <f t="shared" si="10"/>
        <v>1.000000000010532</v>
      </c>
      <c r="N30" s="340">
        <f t="shared" si="11"/>
        <v>4.589575066891271E-6</v>
      </c>
      <c r="O30" s="341">
        <f t="shared" si="12"/>
        <v>1.0000000000053353</v>
      </c>
      <c r="P30" s="342">
        <f t="shared" si="13"/>
        <v>7.2269267271967677E-6</v>
      </c>
      <c r="Q30" s="343">
        <f t="shared" si="14"/>
        <v>63.106965686203978</v>
      </c>
      <c r="R30" s="344">
        <f t="shared" si="15"/>
        <v>-88.858028448005555</v>
      </c>
      <c r="S30" s="346">
        <f t="shared" si="16"/>
        <v>91.141971551994445</v>
      </c>
      <c r="U30" s="319">
        <f t="shared" si="23"/>
        <v>1000000000</v>
      </c>
      <c r="V30" s="319">
        <f t="shared" si="24"/>
        <v>22.908667689999998</v>
      </c>
      <c r="X30" s="345">
        <f t="shared" si="17"/>
        <v>63.391016381638991</v>
      </c>
      <c r="Y30" s="346">
        <f t="shared" si="18"/>
        <v>-88.852457581998138</v>
      </c>
      <c r="AA30" s="345">
        <f t="shared" si="19"/>
        <v>32.939578173497381</v>
      </c>
      <c r="AB30" s="346">
        <f t="shared" si="20"/>
        <v>-5.5708660073971288E-3</v>
      </c>
      <c r="AD30">
        <f t="shared" si="25"/>
        <v>0</v>
      </c>
      <c r="AE30">
        <f t="shared" si="21"/>
        <v>0</v>
      </c>
    </row>
    <row r="31" spans="1:31" x14ac:dyDescent="0.2">
      <c r="A31" s="347">
        <v>5.2481</v>
      </c>
      <c r="B31" s="364">
        <f t="shared" si="22"/>
        <v>5.2481000000000003E-3</v>
      </c>
      <c r="C31" s="337">
        <f t="shared" si="0"/>
        <v>1.0000000049001847</v>
      </c>
      <c r="D31" s="338">
        <f t="shared" si="1"/>
        <v>9.8996816428080779E-5</v>
      </c>
      <c r="E31" s="338">
        <f t="shared" si="2"/>
        <v>1.000000000000048</v>
      </c>
      <c r="F31" s="339">
        <f t="shared" si="3"/>
        <v>3.0996297686553209E-7</v>
      </c>
      <c r="G31" s="338">
        <f t="shared" si="4"/>
        <v>1</v>
      </c>
      <c r="H31" s="339">
        <f t="shared" si="5"/>
        <v>0</v>
      </c>
      <c r="I31" s="337">
        <f t="shared" si="6"/>
        <v>56.990071172652542</v>
      </c>
      <c r="J31" s="340">
        <f t="shared" si="7"/>
        <v>1.5532485100920084</v>
      </c>
      <c r="K31" s="348">
        <f t="shared" si="8"/>
        <v>1.0000003775383082</v>
      </c>
      <c r="L31" s="349">
        <f t="shared" si="9"/>
        <v>8.6895130962798262E-4</v>
      </c>
      <c r="M31" s="337">
        <f t="shared" si="10"/>
        <v>1.0000000000126625</v>
      </c>
      <c r="N31" s="340">
        <f t="shared" si="11"/>
        <v>5.0323943147144704E-6</v>
      </c>
      <c r="O31" s="341">
        <f t="shared" si="12"/>
        <v>1.0000000000064146</v>
      </c>
      <c r="P31" s="342">
        <f t="shared" si="13"/>
        <v>7.9242074581675228E-6</v>
      </c>
      <c r="Q31" s="343">
        <f t="shared" si="14"/>
        <v>62.307192990222063</v>
      </c>
      <c r="R31" s="344">
        <f t="shared" si="15"/>
        <v>-88.951193721047431</v>
      </c>
      <c r="S31" s="346">
        <f t="shared" si="16"/>
        <v>91.048806278952569</v>
      </c>
      <c r="U31" s="319">
        <f t="shared" si="23"/>
        <v>1000000000</v>
      </c>
      <c r="V31" s="319">
        <f t="shared" si="24"/>
        <v>27.542553609999999</v>
      </c>
      <c r="X31" s="345">
        <f t="shared" si="17"/>
        <v>62.591243692827277</v>
      </c>
      <c r="Y31" s="346">
        <f t="shared" si="18"/>
        <v>-88.945085357200938</v>
      </c>
      <c r="AA31" s="345">
        <f t="shared" si="19"/>
        <v>32.939578166327166</v>
      </c>
      <c r="AB31" s="346">
        <f t="shared" si="20"/>
        <v>-6.1083638464996077E-3</v>
      </c>
      <c r="AD31">
        <f t="shared" si="25"/>
        <v>0</v>
      </c>
      <c r="AE31">
        <f t="shared" si="21"/>
        <v>0</v>
      </c>
    </row>
    <row r="32" spans="1:31" x14ac:dyDescent="0.2">
      <c r="A32" s="347">
        <v>5.7544000000000004</v>
      </c>
      <c r="B32" s="364">
        <f t="shared" si="22"/>
        <v>5.7544000000000007E-3</v>
      </c>
      <c r="C32" s="337">
        <f t="shared" si="0"/>
        <v>1.0000000058912621</v>
      </c>
      <c r="D32" s="338">
        <f t="shared" si="1"/>
        <v>1.085473371462736E-4</v>
      </c>
      <c r="E32" s="338">
        <f t="shared" si="2"/>
        <v>1.0000000000000577</v>
      </c>
      <c r="F32" s="339">
        <f t="shared" si="3"/>
        <v>3.3986603800899497E-7</v>
      </c>
      <c r="G32" s="338">
        <f t="shared" si="4"/>
        <v>1</v>
      </c>
      <c r="H32" s="339">
        <f t="shared" si="5"/>
        <v>0</v>
      </c>
      <c r="I32" s="337">
        <f t="shared" si="6"/>
        <v>62.486456483514623</v>
      </c>
      <c r="J32" s="340">
        <f t="shared" si="7"/>
        <v>1.5547921757138037</v>
      </c>
      <c r="K32" s="348">
        <f t="shared" si="8"/>
        <v>1.0000004538965688</v>
      </c>
      <c r="L32" s="349">
        <f t="shared" si="9"/>
        <v>9.5278160888338174E-4</v>
      </c>
      <c r="M32" s="337">
        <f t="shared" si="10"/>
        <v>1.0000000000152234</v>
      </c>
      <c r="N32" s="340">
        <f t="shared" si="11"/>
        <v>5.5178845381268489E-6</v>
      </c>
      <c r="O32" s="341">
        <f t="shared" si="12"/>
        <v>1.0000000000077121</v>
      </c>
      <c r="P32" s="342">
        <f t="shared" si="13"/>
        <v>8.6886795978195077E-6</v>
      </c>
      <c r="Q32" s="343">
        <f t="shared" si="14"/>
        <v>61.507459688680683</v>
      </c>
      <c r="R32" s="344">
        <f t="shared" si="15"/>
        <v>-89.035453232687431</v>
      </c>
      <c r="S32" s="346">
        <f t="shared" si="16"/>
        <v>90.964546767312569</v>
      </c>
      <c r="U32" s="319">
        <f t="shared" si="23"/>
        <v>1000000000</v>
      </c>
      <c r="V32" s="319">
        <f t="shared" si="24"/>
        <v>33.113119360000006</v>
      </c>
      <c r="X32" s="345">
        <f t="shared" si="17"/>
        <v>61.791510399905469</v>
      </c>
      <c r="Y32" s="346">
        <f t="shared" si="18"/>
        <v>-89.02875557660299</v>
      </c>
      <c r="AA32" s="345">
        <f t="shared" si="19"/>
        <v>32.939578157707594</v>
      </c>
      <c r="AB32" s="346">
        <f t="shared" si="20"/>
        <v>-6.6976560844370248E-3</v>
      </c>
      <c r="AD32">
        <f t="shared" si="25"/>
        <v>0</v>
      </c>
      <c r="AE32">
        <f t="shared" si="21"/>
        <v>0</v>
      </c>
    </row>
    <row r="33" spans="1:31" x14ac:dyDescent="0.2">
      <c r="A33" s="347">
        <v>6.3095999999999997</v>
      </c>
      <c r="B33" s="364">
        <f t="shared" si="22"/>
        <v>6.3095999999999994E-3</v>
      </c>
      <c r="C33" s="337">
        <f t="shared" si="0"/>
        <v>1.0000000070829131</v>
      </c>
      <c r="D33" s="338">
        <f t="shared" si="1"/>
        <v>1.1902027629536142E-4</v>
      </c>
      <c r="E33" s="338">
        <f t="shared" si="2"/>
        <v>1.0000000000000693</v>
      </c>
      <c r="F33" s="339">
        <f t="shared" si="3"/>
        <v>3.7265722810745476E-7</v>
      </c>
      <c r="G33" s="338">
        <f t="shared" si="4"/>
        <v>1</v>
      </c>
      <c r="H33" s="339">
        <f t="shared" si="5"/>
        <v>0</v>
      </c>
      <c r="I33" s="337">
        <f t="shared" si="6"/>
        <v>68.513841847191685</v>
      </c>
      <c r="J33" s="340">
        <f t="shared" si="7"/>
        <v>1.5562002177218377</v>
      </c>
      <c r="K33" s="348">
        <f t="shared" si="8"/>
        <v>1.0000005457081511</v>
      </c>
      <c r="L33" s="349">
        <f t="shared" si="9"/>
        <v>1.0447084789813111E-3</v>
      </c>
      <c r="M33" s="337">
        <f t="shared" si="10"/>
        <v>1.0000000000183027</v>
      </c>
      <c r="N33" s="340">
        <f t="shared" si="11"/>
        <v>6.0502648897702082E-6</v>
      </c>
      <c r="O33" s="341">
        <f t="shared" si="12"/>
        <v>1.0000000000092719</v>
      </c>
      <c r="P33" s="342">
        <f t="shared" si="13"/>
        <v>9.5269867910565755E-6</v>
      </c>
      <c r="Q33" s="343">
        <f t="shared" si="14"/>
        <v>60.707612001966126</v>
      </c>
      <c r="R33" s="344">
        <f t="shared" si="15"/>
        <v>-89.111537786558273</v>
      </c>
      <c r="S33" s="346">
        <f t="shared" si="16"/>
        <v>90.888462213441727</v>
      </c>
      <c r="U33" s="319">
        <f t="shared" si="23"/>
        <v>1000000000</v>
      </c>
      <c r="V33" s="319">
        <f t="shared" si="24"/>
        <v>39.811052159999996</v>
      </c>
      <c r="X33" s="345">
        <f t="shared" si="17"/>
        <v>60.991662723554903</v>
      </c>
      <c r="Y33" s="346">
        <f t="shared" si="18"/>
        <v>-89.104193922593453</v>
      </c>
      <c r="AA33" s="345">
        <f t="shared" si="19"/>
        <v>32.939578147343596</v>
      </c>
      <c r="AB33" s="346">
        <f t="shared" si="20"/>
        <v>-7.3438639648255796E-3</v>
      </c>
      <c r="AD33">
        <f t="shared" si="25"/>
        <v>0</v>
      </c>
      <c r="AE33">
        <f t="shared" si="21"/>
        <v>0</v>
      </c>
    </row>
    <row r="34" spans="1:31" x14ac:dyDescent="0.2">
      <c r="A34" s="347">
        <v>6.9183000000000003</v>
      </c>
      <c r="B34" s="364">
        <f t="shared" si="22"/>
        <v>6.9183000000000005E-3</v>
      </c>
      <c r="C34" s="337">
        <f t="shared" si="0"/>
        <v>1.000000008515439</v>
      </c>
      <c r="D34" s="338">
        <f t="shared" si="1"/>
        <v>1.3050240533596751E-4</v>
      </c>
      <c r="E34" s="338">
        <f t="shared" si="2"/>
        <v>1.0000000000000835</v>
      </c>
      <c r="F34" s="339">
        <f t="shared" si="3"/>
        <v>4.0860823209328331E-7</v>
      </c>
      <c r="G34" s="338">
        <f t="shared" si="4"/>
        <v>1</v>
      </c>
      <c r="H34" s="339">
        <f t="shared" si="5"/>
        <v>0</v>
      </c>
      <c r="I34" s="337">
        <f t="shared" si="6"/>
        <v>75.122165981854423</v>
      </c>
      <c r="J34" s="340">
        <f t="shared" si="7"/>
        <v>1.5574842833703826</v>
      </c>
      <c r="K34" s="348">
        <f t="shared" si="8"/>
        <v>1.0000006560781016</v>
      </c>
      <c r="L34" s="349">
        <f t="shared" si="9"/>
        <v>1.1454935555866611E-3</v>
      </c>
      <c r="M34" s="337">
        <f t="shared" si="10"/>
        <v>1.0000000000220046</v>
      </c>
      <c r="N34" s="340">
        <f t="shared" si="11"/>
        <v>6.6339463019516189E-6</v>
      </c>
      <c r="O34" s="341">
        <f t="shared" si="12"/>
        <v>1.0000000000111471</v>
      </c>
      <c r="P34" s="342">
        <f t="shared" si="13"/>
        <v>1.0446074666642064E-5</v>
      </c>
      <c r="Q34" s="343">
        <f t="shared" si="14"/>
        <v>59.907817337782788</v>
      </c>
      <c r="R34" s="344">
        <f t="shared" si="15"/>
        <v>-89.18007668941938</v>
      </c>
      <c r="S34" s="346">
        <f t="shared" si="16"/>
        <v>90.81992331058062</v>
      </c>
      <c r="U34" s="319">
        <f t="shared" si="23"/>
        <v>1000000000</v>
      </c>
      <c r="V34" s="319">
        <f t="shared" si="24"/>
        <v>47.862874890000008</v>
      </c>
      <c r="X34" s="345">
        <f t="shared" si="17"/>
        <v>60.191868071830505</v>
      </c>
      <c r="Y34" s="346">
        <f t="shared" si="18"/>
        <v>-89.172024347904426</v>
      </c>
      <c r="AA34" s="345">
        <f t="shared" si="19"/>
        <v>32.93957813488467</v>
      </c>
      <c r="AB34" s="346">
        <f t="shared" si="20"/>
        <v>-8.0523415149615068E-3</v>
      </c>
      <c r="AD34">
        <f t="shared" si="25"/>
        <v>0</v>
      </c>
      <c r="AE34">
        <f t="shared" si="21"/>
        <v>0</v>
      </c>
    </row>
    <row r="35" spans="1:31" x14ac:dyDescent="0.2">
      <c r="A35" s="347">
        <v>7.5857999999999999</v>
      </c>
      <c r="B35" s="364">
        <f t="shared" si="22"/>
        <v>7.5858000000000002E-3</v>
      </c>
      <c r="C35" s="337">
        <f t="shared" si="0"/>
        <v>1.0000000102379036</v>
      </c>
      <c r="D35" s="338">
        <f t="shared" si="1"/>
        <v>1.4309370007961432E-4</v>
      </c>
      <c r="E35" s="338">
        <f t="shared" si="2"/>
        <v>1.0000000000001004</v>
      </c>
      <c r="F35" s="339">
        <f t="shared" si="3"/>
        <v>4.4803207825812608E-7</v>
      </c>
      <c r="G35" s="338">
        <f t="shared" si="4"/>
        <v>1</v>
      </c>
      <c r="H35" s="339">
        <f t="shared" si="5"/>
        <v>0</v>
      </c>
      <c r="I35" s="337">
        <f t="shared" si="6"/>
        <v>82.368968106173909</v>
      </c>
      <c r="J35" s="340">
        <f t="shared" si="7"/>
        <v>1.5586555340923827</v>
      </c>
      <c r="K35" s="348">
        <f t="shared" si="8"/>
        <v>1.0000007887865725</v>
      </c>
      <c r="L35" s="349">
        <f t="shared" si="9"/>
        <v>1.2560143742235649E-3</v>
      </c>
      <c r="M35" s="337">
        <f t="shared" si="10"/>
        <v>1.0000000000264557</v>
      </c>
      <c r="N35" s="340">
        <f t="shared" si="11"/>
        <v>7.274010935807245E-6</v>
      </c>
      <c r="O35" s="341">
        <f t="shared" si="12"/>
        <v>1.0000000000134019</v>
      </c>
      <c r="P35" s="342">
        <f t="shared" si="13"/>
        <v>1.1453945796846943E-5</v>
      </c>
      <c r="Q35" s="343">
        <f t="shared" si="14"/>
        <v>59.107907996557927</v>
      </c>
      <c r="R35" s="344">
        <f t="shared" si="15"/>
        <v>-89.241665625147405</v>
      </c>
      <c r="S35" s="346">
        <f t="shared" si="16"/>
        <v>90.758334374852595</v>
      </c>
      <c r="U35" s="319">
        <f t="shared" si="23"/>
        <v>1000000000</v>
      </c>
      <c r="V35" s="319">
        <f t="shared" si="24"/>
        <v>57.544361639999998</v>
      </c>
      <c r="X35" s="345">
        <f t="shared" si="17"/>
        <v>59.391958745586209</v>
      </c>
      <c r="Y35" s="346">
        <f t="shared" si="18"/>
        <v>-89.232836367642079</v>
      </c>
      <c r="AA35" s="345">
        <f t="shared" si="19"/>
        <v>32.939578119904091</v>
      </c>
      <c r="AB35" s="346">
        <f t="shared" si="20"/>
        <v>-8.8292575053218834E-3</v>
      </c>
      <c r="AD35">
        <f t="shared" si="25"/>
        <v>0</v>
      </c>
      <c r="AE35">
        <f t="shared" si="21"/>
        <v>0</v>
      </c>
    </row>
    <row r="36" spans="1:31" x14ac:dyDescent="0.2">
      <c r="A36" s="347">
        <v>8.3176000000000005</v>
      </c>
      <c r="B36" s="364">
        <f t="shared" si="22"/>
        <v>8.3176000000000014E-3</v>
      </c>
      <c r="C36" s="337">
        <f t="shared" si="0"/>
        <v>1.0000000123084771</v>
      </c>
      <c r="D36" s="338">
        <f t="shared" si="1"/>
        <v>1.5689790900620562E-4</v>
      </c>
      <c r="E36" s="338">
        <f t="shared" si="2"/>
        <v>1.0000000000001208</v>
      </c>
      <c r="F36" s="339">
        <f t="shared" si="3"/>
        <v>4.9125360728199253E-7</v>
      </c>
      <c r="G36" s="338">
        <f t="shared" si="4"/>
        <v>1</v>
      </c>
      <c r="H36" s="339">
        <f t="shared" si="5"/>
        <v>0</v>
      </c>
      <c r="I36" s="337">
        <f t="shared" si="6"/>
        <v>90.313959699460057</v>
      </c>
      <c r="J36" s="340">
        <f t="shared" si="7"/>
        <v>1.5597236151368392</v>
      </c>
      <c r="K36" s="348">
        <f t="shared" si="8"/>
        <v>1.0000009483153049</v>
      </c>
      <c r="L36" s="349">
        <f t="shared" si="9"/>
        <v>1.3771815824271099E-3</v>
      </c>
      <c r="M36" s="337">
        <f t="shared" si="10"/>
        <v>1.0000000000318061</v>
      </c>
      <c r="N36" s="340">
        <f t="shared" si="11"/>
        <v>7.9757327321382759E-6</v>
      </c>
      <c r="O36" s="341">
        <f t="shared" si="12"/>
        <v>1.0000000000161124</v>
      </c>
      <c r="P36" s="342">
        <f t="shared" si="13"/>
        <v>1.255890473780184E-5</v>
      </c>
      <c r="Q36" s="343">
        <f t="shared" si="14"/>
        <v>58.308084194708798</v>
      </c>
      <c r="R36" s="344">
        <f t="shared" si="15"/>
        <v>-89.296811753271228</v>
      </c>
      <c r="S36" s="346">
        <f t="shared" si="16"/>
        <v>90.703188246728772</v>
      </c>
      <c r="U36" s="319">
        <f t="shared" si="23"/>
        <v>1000000000</v>
      </c>
      <c r="V36" s="319">
        <f t="shared" si="24"/>
        <v>69.182469760000004</v>
      </c>
      <c r="X36" s="345">
        <f t="shared" si="17"/>
        <v>58.592134961745224</v>
      </c>
      <c r="Y36" s="346">
        <f t="shared" si="18"/>
        <v>-89.287130739781276</v>
      </c>
      <c r="AA36" s="345">
        <f t="shared" si="19"/>
        <v>32.939578101895954</v>
      </c>
      <c r="AB36" s="346">
        <f t="shared" si="20"/>
        <v>-9.6810134899604442E-3</v>
      </c>
      <c r="AD36">
        <f t="shared" si="25"/>
        <v>0</v>
      </c>
      <c r="AE36">
        <f t="shared" si="21"/>
        <v>0</v>
      </c>
    </row>
    <row r="37" spans="1:31" x14ac:dyDescent="0.2">
      <c r="A37" s="347">
        <v>9.1201000000000008</v>
      </c>
      <c r="B37" s="364">
        <f t="shared" si="22"/>
        <v>9.1201000000000008E-3</v>
      </c>
      <c r="C37" s="337">
        <f t="shared" si="0"/>
        <v>1.0000000147981511</v>
      </c>
      <c r="D37" s="338">
        <f t="shared" si="1"/>
        <v>1.720357576166769E-4</v>
      </c>
      <c r="E37" s="338">
        <f t="shared" si="2"/>
        <v>1.0000000000001452</v>
      </c>
      <c r="F37" s="339">
        <f t="shared" si="3"/>
        <v>5.3865081559252995E-7</v>
      </c>
      <c r="G37" s="338">
        <f t="shared" si="4"/>
        <v>1</v>
      </c>
      <c r="H37" s="339">
        <f t="shared" si="5"/>
        <v>0</v>
      </c>
      <c r="I37" s="337">
        <f t="shared" si="6"/>
        <v>99.026624155724363</v>
      </c>
      <c r="J37" s="340">
        <f t="shared" si="7"/>
        <v>1.5606978607992041</v>
      </c>
      <c r="K37" s="348">
        <f t="shared" si="8"/>
        <v>1.0000011401338944</v>
      </c>
      <c r="L37" s="349">
        <f t="shared" si="9"/>
        <v>1.5100548407869475E-3</v>
      </c>
      <c r="M37" s="337">
        <f t="shared" si="10"/>
        <v>1.0000000000382396</v>
      </c>
      <c r="N37" s="340">
        <f t="shared" si="11"/>
        <v>8.7452486402402499E-6</v>
      </c>
      <c r="O37" s="341">
        <f t="shared" si="12"/>
        <v>1.0000000000193716</v>
      </c>
      <c r="P37" s="342">
        <f t="shared" si="13"/>
        <v>1.377061497300451E-5</v>
      </c>
      <c r="Q37" s="343">
        <f t="shared" si="14"/>
        <v>57.508144032949595</v>
      </c>
      <c r="R37" s="344">
        <f t="shared" si="15"/>
        <v>-89.345996976148271</v>
      </c>
      <c r="S37" s="346">
        <f t="shared" si="16"/>
        <v>90.654003023851729</v>
      </c>
      <c r="U37" s="319">
        <f t="shared" si="23"/>
        <v>1000000000</v>
      </c>
      <c r="V37" s="319">
        <f t="shared" si="24"/>
        <v>83.176224010000013</v>
      </c>
      <c r="X37" s="345">
        <f t="shared" si="17"/>
        <v>57.792194821639143</v>
      </c>
      <c r="Y37" s="346">
        <f t="shared" si="18"/>
        <v>-89.335381917598482</v>
      </c>
      <c r="AA37" s="345">
        <f t="shared" si="19"/>
        <v>32.939578080242825</v>
      </c>
      <c r="AB37" s="346">
        <f t="shared" si="20"/>
        <v>-1.0615058549788749E-2</v>
      </c>
      <c r="AD37">
        <f t="shared" si="25"/>
        <v>0</v>
      </c>
      <c r="AE37">
        <f t="shared" si="21"/>
        <v>0</v>
      </c>
    </row>
    <row r="38" spans="1:31" x14ac:dyDescent="0.2">
      <c r="A38" s="347">
        <v>10</v>
      </c>
      <c r="B38" s="364">
        <f t="shared" si="22"/>
        <v>0.01</v>
      </c>
      <c r="C38" s="337">
        <f t="shared" si="0"/>
        <v>1.0000000177913235</v>
      </c>
      <c r="D38" s="338">
        <f t="shared" si="1"/>
        <v>1.8863363041346964E-4</v>
      </c>
      <c r="E38" s="338">
        <f t="shared" si="2"/>
        <v>1.0000000000001745</v>
      </c>
      <c r="F38" s="339">
        <f t="shared" si="3"/>
        <v>5.9061941819993136E-7</v>
      </c>
      <c r="G38" s="338">
        <f t="shared" si="4"/>
        <v>1</v>
      </c>
      <c r="H38" s="339">
        <f t="shared" si="5"/>
        <v>0</v>
      </c>
      <c r="I38" s="337">
        <f t="shared" si="6"/>
        <v>108.57970273886271</v>
      </c>
      <c r="J38" s="340">
        <f t="shared" si="7"/>
        <v>1.5615863721521239</v>
      </c>
      <c r="K38" s="348">
        <f t="shared" si="8"/>
        <v>1.000001370744797</v>
      </c>
      <c r="L38" s="349">
        <f t="shared" si="9"/>
        <v>1.6557434771882315E-3</v>
      </c>
      <c r="M38" s="337">
        <f t="shared" si="10"/>
        <v>1.0000000000459743</v>
      </c>
      <c r="N38" s="340">
        <f t="shared" si="11"/>
        <v>9.5889832789061039E-6</v>
      </c>
      <c r="O38" s="341">
        <f t="shared" si="12"/>
        <v>1.0000000000232898</v>
      </c>
      <c r="P38" s="342">
        <f t="shared" si="13"/>
        <v>1.5099192961742287E-5</v>
      </c>
      <c r="Q38" s="343">
        <f t="shared" si="14"/>
        <v>56.708212524772172</v>
      </c>
      <c r="R38" s="344">
        <f t="shared" si="15"/>
        <v>-89.389630057604975</v>
      </c>
      <c r="S38" s="346">
        <f t="shared" si="16"/>
        <v>90.610369942395025</v>
      </c>
      <c r="U38" s="319">
        <f t="shared" si="23"/>
        <v>1000000000</v>
      </c>
      <c r="V38" s="319">
        <f t="shared" si="24"/>
        <v>100</v>
      </c>
      <c r="X38" s="345">
        <f t="shared" si="17"/>
        <v>56.992263339493867</v>
      </c>
      <c r="Y38" s="346">
        <f t="shared" si="18"/>
        <v>-89.37799086666395</v>
      </c>
      <c r="AA38" s="345">
        <f t="shared" si="19"/>
        <v>32.939578054210685</v>
      </c>
      <c r="AB38" s="346">
        <f t="shared" si="20"/>
        <v>-1.1639190941022273E-2</v>
      </c>
      <c r="AD38">
        <f t="shared" si="25"/>
        <v>0</v>
      </c>
      <c r="AE38">
        <f t="shared" si="21"/>
        <v>0</v>
      </c>
    </row>
    <row r="39" spans="1:31" x14ac:dyDescent="0.2">
      <c r="A39" s="347">
        <v>10.965</v>
      </c>
      <c r="B39" s="364">
        <f t="shared" si="22"/>
        <v>1.0964999999999999E-2</v>
      </c>
      <c r="C39" s="337">
        <f t="shared" si="0"/>
        <v>1.0000000213907261</v>
      </c>
      <c r="D39" s="338">
        <f t="shared" si="1"/>
        <v>2.0683677525204353E-4</v>
      </c>
      <c r="E39" s="338">
        <f t="shared" si="2"/>
        <v>1.0000000000002096</v>
      </c>
      <c r="F39" s="339">
        <f t="shared" si="3"/>
        <v>6.476141920562095E-7</v>
      </c>
      <c r="G39" s="338">
        <f t="shared" si="4"/>
        <v>1</v>
      </c>
      <c r="H39" s="339">
        <f t="shared" si="5"/>
        <v>0</v>
      </c>
      <c r="I39" s="337">
        <f t="shared" si="6"/>
        <v>119.05679441022947</v>
      </c>
      <c r="J39" s="340">
        <f t="shared" si="7"/>
        <v>1.5623968753942898</v>
      </c>
      <c r="K39" s="348">
        <f t="shared" si="8"/>
        <v>1.0000016480630325</v>
      </c>
      <c r="L39" s="349">
        <f t="shared" si="9"/>
        <v>1.8155223870855931E-3</v>
      </c>
      <c r="M39" s="337">
        <f t="shared" si="10"/>
        <v>1.0000000000552753</v>
      </c>
      <c r="N39" s="340">
        <f t="shared" si="11"/>
        <v>1.0514320165255345E-5</v>
      </c>
      <c r="O39" s="341">
        <f t="shared" si="12"/>
        <v>1.0000000000280016</v>
      </c>
      <c r="P39" s="342">
        <f t="shared" si="13"/>
        <v>1.6556265082599679E-5</v>
      </c>
      <c r="Q39" s="343">
        <f t="shared" si="14"/>
        <v>55.908104168069116</v>
      </c>
      <c r="R39" s="344">
        <f t="shared" si="15"/>
        <v>-89.428090015308698</v>
      </c>
      <c r="S39" s="346">
        <f t="shared" si="16"/>
        <v>90.571909984691302</v>
      </c>
      <c r="U39" s="319">
        <f t="shared" si="23"/>
        <v>1000000000</v>
      </c>
      <c r="V39" s="319">
        <f t="shared" si="24"/>
        <v>120.23122499999999</v>
      </c>
      <c r="X39" s="345">
        <f t="shared" si="17"/>
        <v>56.192155014095455</v>
      </c>
      <c r="Y39" s="346">
        <f t="shared" si="18"/>
        <v>-89.415327642470288</v>
      </c>
      <c r="AA39" s="345">
        <f t="shared" si="19"/>
        <v>32.939578022906048</v>
      </c>
      <c r="AB39" s="346">
        <f t="shared" si="20"/>
        <v>-1.2762372838396364E-2</v>
      </c>
      <c r="AD39">
        <f t="shared" si="25"/>
        <v>0</v>
      </c>
      <c r="AE39">
        <f t="shared" si="21"/>
        <v>0</v>
      </c>
    </row>
    <row r="40" spans="1:31" x14ac:dyDescent="0.2">
      <c r="A40" s="347">
        <v>12.023</v>
      </c>
      <c r="B40" s="364">
        <f t="shared" si="22"/>
        <v>1.2022999999999999E-2</v>
      </c>
      <c r="C40" s="337">
        <f t="shared" si="0"/>
        <v>1.0000000257178081</v>
      </c>
      <c r="D40" s="338">
        <f t="shared" si="1"/>
        <v>2.2679421264766068E-4</v>
      </c>
      <c r="E40" s="338">
        <f t="shared" si="2"/>
        <v>1.0000000000002522</v>
      </c>
      <c r="F40" s="339">
        <f t="shared" si="3"/>
        <v>7.1010172650174071E-7</v>
      </c>
      <c r="G40" s="338">
        <f t="shared" si="4"/>
        <v>1</v>
      </c>
      <c r="H40" s="339">
        <f t="shared" si="5"/>
        <v>0</v>
      </c>
      <c r="I40" s="337">
        <f t="shared" si="6"/>
        <v>130.54367019167199</v>
      </c>
      <c r="J40" s="340">
        <f t="shared" si="7"/>
        <v>1.5631359800408124</v>
      </c>
      <c r="K40" s="348">
        <f t="shared" si="8"/>
        <v>1.0000019814456651</v>
      </c>
      <c r="L40" s="349">
        <f t="shared" si="9"/>
        <v>1.9906995721429375E-3</v>
      </c>
      <c r="M40" s="337">
        <f t="shared" si="10"/>
        <v>1.0000000000664571</v>
      </c>
      <c r="N40" s="340">
        <f t="shared" si="11"/>
        <v>1.152883459607138E-5</v>
      </c>
      <c r="O40" s="341">
        <f t="shared" si="12"/>
        <v>1.000000000033666</v>
      </c>
      <c r="P40" s="342">
        <f t="shared" si="13"/>
        <v>1.8153759698021708E-5</v>
      </c>
      <c r="Q40" s="343">
        <f t="shared" si="14"/>
        <v>55.108074355477406</v>
      </c>
      <c r="R40" s="344">
        <f t="shared" si="15"/>
        <v>-89.461690232595629</v>
      </c>
      <c r="S40" s="346">
        <f t="shared" si="16"/>
        <v>90.538309767404371</v>
      </c>
      <c r="U40" s="319">
        <f t="shared" si="23"/>
        <v>1000000000</v>
      </c>
      <c r="V40" s="319">
        <f t="shared" si="24"/>
        <v>144.55252899999999</v>
      </c>
      <c r="X40" s="345">
        <f t="shared" si="17"/>
        <v>55.392125239137123</v>
      </c>
      <c r="Y40" s="346">
        <f t="shared" si="18"/>
        <v>-89.44769643339589</v>
      </c>
      <c r="AA40" s="345">
        <f t="shared" si="19"/>
        <v>32.939577985272663</v>
      </c>
      <c r="AB40" s="346">
        <f t="shared" si="20"/>
        <v>-1.3993799199731548E-2</v>
      </c>
      <c r="AD40">
        <f t="shared" si="25"/>
        <v>0</v>
      </c>
      <c r="AE40">
        <f t="shared" si="21"/>
        <v>0</v>
      </c>
    </row>
    <row r="41" spans="1:31" x14ac:dyDescent="0.2">
      <c r="A41" s="347">
        <v>13.183</v>
      </c>
      <c r="B41" s="364">
        <f t="shared" si="22"/>
        <v>1.3183E-2</v>
      </c>
      <c r="C41" s="337">
        <f t="shared" si="0"/>
        <v>1.0000000309198058</v>
      </c>
      <c r="D41" s="338">
        <f t="shared" si="1"/>
        <v>2.4867571279758719E-4</v>
      </c>
      <c r="E41" s="338">
        <f t="shared" si="2"/>
        <v>1.0000000000003031</v>
      </c>
      <c r="F41" s="339">
        <f t="shared" si="3"/>
        <v>7.7861357901290272E-7</v>
      </c>
      <c r="G41" s="338">
        <f t="shared" si="4"/>
        <v>1</v>
      </c>
      <c r="H41" s="339">
        <f t="shared" si="5"/>
        <v>0</v>
      </c>
      <c r="I41" s="337">
        <f t="shared" si="6"/>
        <v>143.13804451016728</v>
      </c>
      <c r="J41" s="340">
        <f t="shared" si="7"/>
        <v>1.5638100071323253</v>
      </c>
      <c r="K41" s="348">
        <f t="shared" si="8"/>
        <v>1.000002382236588</v>
      </c>
      <c r="L41" s="349">
        <f t="shared" si="9"/>
        <v>2.1827651540794178E-3</v>
      </c>
      <c r="M41" s="337">
        <f t="shared" si="10"/>
        <v>1.0000000000798994</v>
      </c>
      <c r="N41" s="340">
        <f t="shared" si="11"/>
        <v>1.2641156656296015E-5</v>
      </c>
      <c r="O41" s="341">
        <f t="shared" si="12"/>
        <v>1.0000000000404758</v>
      </c>
      <c r="P41" s="342">
        <f t="shared" si="13"/>
        <v>1.9905266081680886E-5</v>
      </c>
      <c r="Q41" s="343">
        <f t="shared" si="14"/>
        <v>54.30809256733825</v>
      </c>
      <c r="R41" s="344">
        <f t="shared" si="15"/>
        <v>-89.490718470466362</v>
      </c>
      <c r="S41" s="346">
        <f t="shared" si="16"/>
        <v>90.509281529533638</v>
      </c>
      <c r="U41" s="319">
        <f t="shared" si="23"/>
        <v>1000000000</v>
      </c>
      <c r="V41" s="319">
        <f t="shared" si="24"/>
        <v>173.79148899999998</v>
      </c>
      <c r="X41" s="345">
        <f t="shared" si="17"/>
        <v>54.592143496240659</v>
      </c>
      <c r="Y41" s="346">
        <f t="shared" si="18"/>
        <v>-89.475374525173521</v>
      </c>
      <c r="AA41" s="345">
        <f t="shared" si="19"/>
        <v>32.939577940029977</v>
      </c>
      <c r="AB41" s="346">
        <f t="shared" si="20"/>
        <v>-1.5343945292858362E-2</v>
      </c>
      <c r="AD41">
        <f t="shared" si="25"/>
        <v>0</v>
      </c>
      <c r="AE41">
        <f t="shared" si="21"/>
        <v>0</v>
      </c>
    </row>
    <row r="42" spans="1:31" x14ac:dyDescent="0.2">
      <c r="A42" s="347">
        <v>14.454000000000001</v>
      </c>
      <c r="B42" s="364">
        <f t="shared" si="22"/>
        <v>1.4454E-2</v>
      </c>
      <c r="C42" s="337">
        <f t="shared" si="0"/>
        <v>1.0000000371692976</v>
      </c>
      <c r="D42" s="338">
        <f t="shared" si="1"/>
        <v>2.7265104587734582E-4</v>
      </c>
      <c r="E42" s="338">
        <f t="shared" si="2"/>
        <v>1.0000000000003644</v>
      </c>
      <c r="F42" s="339">
        <f t="shared" si="3"/>
        <v>8.5368130706607273E-7</v>
      </c>
      <c r="G42" s="338">
        <f t="shared" si="4"/>
        <v>1</v>
      </c>
      <c r="H42" s="339">
        <f t="shared" si="5"/>
        <v>0</v>
      </c>
      <c r="I42" s="337">
        <f t="shared" si="6"/>
        <v>156.93763226881779</v>
      </c>
      <c r="J42" s="340">
        <f t="shared" si="7"/>
        <v>1.5644243256843822</v>
      </c>
      <c r="K42" s="348">
        <f t="shared" si="8"/>
        <v>1.0000028637320673</v>
      </c>
      <c r="L42" s="349">
        <f t="shared" si="9"/>
        <v>2.3932092399097629E-3</v>
      </c>
      <c r="M42" s="337">
        <f t="shared" si="10"/>
        <v>1.0000000000960485</v>
      </c>
      <c r="N42" s="340">
        <f t="shared" si="11"/>
        <v>1.3859916430868199E-5</v>
      </c>
      <c r="O42" s="341">
        <f t="shared" si="12"/>
        <v>1.0000000000486566</v>
      </c>
      <c r="P42" s="342">
        <f t="shared" si="13"/>
        <v>2.1824373507251915E-5</v>
      </c>
      <c r="Q42" s="343">
        <f t="shared" si="14"/>
        <v>53.508656368856307</v>
      </c>
      <c r="R42" s="344">
        <f t="shared" si="15"/>
        <v>-89.515407943743583</v>
      </c>
      <c r="S42" s="346">
        <f t="shared" si="16"/>
        <v>90.484592056256417</v>
      </c>
      <c r="U42" s="319">
        <f t="shared" si="23"/>
        <v>1000000000</v>
      </c>
      <c r="V42" s="319">
        <f t="shared" si="24"/>
        <v>208.91811600000003</v>
      </c>
      <c r="X42" s="345">
        <f t="shared" si="17"/>
        <v>53.792707352111634</v>
      </c>
      <c r="Y42" s="346">
        <f t="shared" si="18"/>
        <v>-89.498584657359231</v>
      </c>
      <c r="AA42" s="345">
        <f t="shared" si="19"/>
        <v>32.939577885677053</v>
      </c>
      <c r="AB42" s="346">
        <f t="shared" si="20"/>
        <v>-1.6823286384361667E-2</v>
      </c>
      <c r="AD42">
        <f t="shared" si="25"/>
        <v>0</v>
      </c>
      <c r="AE42">
        <f t="shared" si="21"/>
        <v>0</v>
      </c>
    </row>
    <row r="43" spans="1:31" x14ac:dyDescent="0.2">
      <c r="A43" s="347">
        <v>15.849</v>
      </c>
      <c r="B43" s="364">
        <f t="shared" si="22"/>
        <v>1.5848999999999999E-2</v>
      </c>
      <c r="C43" s="337">
        <f t="shared" si="0"/>
        <v>1.0000000446901676</v>
      </c>
      <c r="D43" s="338">
        <f t="shared" si="1"/>
        <v>2.9896543548109167E-4</v>
      </c>
      <c r="E43" s="338">
        <f t="shared" si="2"/>
        <v>1.0000000000004381</v>
      </c>
      <c r="F43" s="339">
        <f t="shared" si="3"/>
        <v>9.3607271590490673E-7</v>
      </c>
      <c r="G43" s="338">
        <f t="shared" si="4"/>
        <v>1</v>
      </c>
      <c r="H43" s="339">
        <f t="shared" si="5"/>
        <v>0</v>
      </c>
      <c r="I43" s="337">
        <f t="shared" si="6"/>
        <v>172.08357798008325</v>
      </c>
      <c r="J43" s="340">
        <f t="shared" si="7"/>
        <v>1.5649851643351871</v>
      </c>
      <c r="K43" s="348">
        <f t="shared" si="8"/>
        <v>1.0000034431812672</v>
      </c>
      <c r="L43" s="349">
        <f t="shared" si="9"/>
        <v>2.6241842113628139E-3</v>
      </c>
      <c r="M43" s="337">
        <f t="shared" si="10"/>
        <v>1.0000000001154832</v>
      </c>
      <c r="N43" s="340">
        <f t="shared" si="11"/>
        <v>1.5197579598034039E-5</v>
      </c>
      <c r="O43" s="341">
        <f t="shared" si="12"/>
        <v>1.0000000000585021</v>
      </c>
      <c r="P43" s="342">
        <f t="shared" si="13"/>
        <v>2.3930710925597488E-5</v>
      </c>
      <c r="Q43" s="343">
        <f t="shared" si="14"/>
        <v>52.708414710594326</v>
      </c>
      <c r="R43" s="344">
        <f t="shared" si="15"/>
        <v>-89.536008049891606</v>
      </c>
      <c r="S43" s="346">
        <f t="shared" si="16"/>
        <v>90.463991950108394</v>
      </c>
      <c r="U43" s="319">
        <f t="shared" si="23"/>
        <v>1000000000</v>
      </c>
      <c r="V43" s="319">
        <f t="shared" si="24"/>
        <v>251.19080099999999</v>
      </c>
      <c r="X43" s="345">
        <f t="shared" si="17"/>
        <v>52.992465759259957</v>
      </c>
      <c r="Y43" s="346">
        <f t="shared" si="18"/>
        <v>-89.517561096476342</v>
      </c>
      <c r="AA43" s="345">
        <f t="shared" si="19"/>
        <v>32.939577820266742</v>
      </c>
      <c r="AB43" s="346">
        <f t="shared" si="20"/>
        <v>-1.8446953415281627E-2</v>
      </c>
      <c r="AD43">
        <f t="shared" si="25"/>
        <v>0</v>
      </c>
      <c r="AE43">
        <f t="shared" si="21"/>
        <v>0</v>
      </c>
    </row>
    <row r="44" spans="1:31" x14ac:dyDescent="0.2">
      <c r="A44" s="347">
        <v>17.378</v>
      </c>
      <c r="B44" s="364">
        <f t="shared" si="22"/>
        <v>1.7378000000000001E-2</v>
      </c>
      <c r="C44" s="337">
        <f t="shared" si="0"/>
        <v>1.0000000537288858</v>
      </c>
      <c r="D44" s="338">
        <f t="shared" si="1"/>
        <v>3.2780751507879228E-4</v>
      </c>
      <c r="E44" s="338">
        <f t="shared" si="2"/>
        <v>1.0000000000005267</v>
      </c>
      <c r="F44" s="339">
        <f t="shared" si="3"/>
        <v>1.0263784249475996E-6</v>
      </c>
      <c r="G44" s="338">
        <f t="shared" si="4"/>
        <v>1</v>
      </c>
      <c r="H44" s="339">
        <f t="shared" si="5"/>
        <v>0</v>
      </c>
      <c r="I44" s="337">
        <f t="shared" si="6"/>
        <v>188.6844547788823</v>
      </c>
      <c r="J44" s="340">
        <f t="shared" si="7"/>
        <v>1.5654964483145033</v>
      </c>
      <c r="K44" s="348">
        <f t="shared" si="8"/>
        <v>1.0000041395734285</v>
      </c>
      <c r="L44" s="349">
        <f t="shared" si="9"/>
        <v>2.8773457034120937E-3</v>
      </c>
      <c r="M44" s="337">
        <f t="shared" si="10"/>
        <v>1.0000000001388401</v>
      </c>
      <c r="N44" s="340">
        <f t="shared" si="11"/>
        <v>1.6663735141051365E-5</v>
      </c>
      <c r="O44" s="341">
        <f t="shared" si="12"/>
        <v>1.0000000000703344</v>
      </c>
      <c r="P44" s="342">
        <f t="shared" si="13"/>
        <v>2.6239377529695288E-5</v>
      </c>
      <c r="Q44" s="343">
        <f t="shared" si="14"/>
        <v>51.908486803014796</v>
      </c>
      <c r="R44" s="344">
        <f t="shared" si="15"/>
        <v>-89.552661015703237</v>
      </c>
      <c r="S44" s="346">
        <f t="shared" si="16"/>
        <v>90.447338984296763</v>
      </c>
      <c r="U44" s="319">
        <f t="shared" si="23"/>
        <v>1000000000</v>
      </c>
      <c r="V44" s="319">
        <f t="shared" si="24"/>
        <v>301.99488400000001</v>
      </c>
      <c r="X44" s="345">
        <f t="shared" si="17"/>
        <v>52.192537930291756</v>
      </c>
      <c r="Y44" s="346">
        <f t="shared" si="18"/>
        <v>-89.532434430135865</v>
      </c>
      <c r="AA44" s="345">
        <f t="shared" si="19"/>
        <v>32.939577741655427</v>
      </c>
      <c r="AB44" s="346">
        <f t="shared" si="20"/>
        <v>-2.0226585567367301E-2</v>
      </c>
      <c r="AD44">
        <f t="shared" si="25"/>
        <v>0</v>
      </c>
      <c r="AE44">
        <f t="shared" si="21"/>
        <v>0</v>
      </c>
    </row>
    <row r="45" spans="1:31" x14ac:dyDescent="0.2">
      <c r="A45" s="347">
        <v>19.055</v>
      </c>
      <c r="B45" s="364">
        <f t="shared" si="22"/>
        <v>1.9054999999999999E-2</v>
      </c>
      <c r="C45" s="337">
        <f t="shared" si="0"/>
        <v>1.0000000645990532</v>
      </c>
      <c r="D45" s="338">
        <f t="shared" si="1"/>
        <v>3.5944137153644349E-4</v>
      </c>
      <c r="E45" s="338">
        <f t="shared" si="2"/>
        <v>1.0000000000006333</v>
      </c>
      <c r="F45" s="339">
        <f t="shared" si="3"/>
        <v>1.125425301379625E-6</v>
      </c>
      <c r="G45" s="338">
        <f t="shared" si="4"/>
        <v>1</v>
      </c>
      <c r="H45" s="339">
        <f t="shared" si="5"/>
        <v>0</v>
      </c>
      <c r="I45" s="337">
        <f t="shared" si="6"/>
        <v>206.89226545343973</v>
      </c>
      <c r="J45" s="340">
        <f t="shared" si="7"/>
        <v>1.5659628745074023</v>
      </c>
      <c r="K45" s="348">
        <f t="shared" si="8"/>
        <v>1.0000049770697736</v>
      </c>
      <c r="L45" s="349">
        <f t="shared" si="9"/>
        <v>3.1550116104592635E-3</v>
      </c>
      <c r="M45" s="337">
        <f t="shared" si="10"/>
        <v>1.0000000001669296</v>
      </c>
      <c r="N45" s="340">
        <f t="shared" si="11"/>
        <v>1.8271807636482203E-5</v>
      </c>
      <c r="O45" s="341">
        <f t="shared" si="12"/>
        <v>1.0000000000845639</v>
      </c>
      <c r="P45" s="342">
        <f t="shared" si="13"/>
        <v>2.8771512189713239E-5</v>
      </c>
      <c r="Q45" s="343">
        <f t="shared" si="14"/>
        <v>51.108331305063892</v>
      </c>
      <c r="R45" s="344">
        <f t="shared" si="15"/>
        <v>-89.565520211329982</v>
      </c>
      <c r="S45" s="346">
        <f t="shared" si="16"/>
        <v>90.434479788670018</v>
      </c>
      <c r="U45" s="319">
        <f t="shared" si="23"/>
        <v>1000000000</v>
      </c>
      <c r="V45" s="319">
        <f t="shared" si="24"/>
        <v>363.09302500000001</v>
      </c>
      <c r="X45" s="345">
        <f t="shared" si="17"/>
        <v>51.392382526880581</v>
      </c>
      <c r="Y45" s="346">
        <f t="shared" si="18"/>
        <v>-89.543341733634463</v>
      </c>
      <c r="AA45" s="345">
        <f t="shared" si="19"/>
        <v>32.939577647115691</v>
      </c>
      <c r="AB45" s="346">
        <f t="shared" si="20"/>
        <v>-2.2178477695528054E-2</v>
      </c>
      <c r="AD45">
        <f t="shared" si="25"/>
        <v>0</v>
      </c>
      <c r="AE45">
        <f t="shared" ref="AE45:AE76" si="26">IF(AD45&gt;0,S43,0)</f>
        <v>0</v>
      </c>
    </row>
    <row r="46" spans="1:31" x14ac:dyDescent="0.2">
      <c r="A46" s="347">
        <v>20.893000000000001</v>
      </c>
      <c r="B46" s="364">
        <f t="shared" si="22"/>
        <v>2.0893000000000002E-2</v>
      </c>
      <c r="C46" s="337">
        <f t="shared" si="0"/>
        <v>1.0000000776622293</v>
      </c>
      <c r="D46" s="338">
        <f t="shared" si="1"/>
        <v>3.941122282922916E-4</v>
      </c>
      <c r="E46" s="338">
        <f t="shared" si="2"/>
        <v>1.0000000000007614</v>
      </c>
      <c r="F46" s="339">
        <f t="shared" si="3"/>
        <v>1.2339811504446338E-6</v>
      </c>
      <c r="G46" s="338">
        <f t="shared" si="4"/>
        <v>1</v>
      </c>
      <c r="H46" s="339">
        <f t="shared" si="5"/>
        <v>0</v>
      </c>
      <c r="I46" s="337">
        <f t="shared" si="6"/>
        <v>226.84815581343116</v>
      </c>
      <c r="J46" s="340">
        <f t="shared" si="7"/>
        <v>1.5663880774300358</v>
      </c>
      <c r="K46" s="348">
        <f t="shared" si="8"/>
        <v>1.0000059835264195</v>
      </c>
      <c r="L46" s="349">
        <f t="shared" si="9"/>
        <v>3.4593342087995251E-3</v>
      </c>
      <c r="M46" s="337">
        <f t="shared" si="10"/>
        <v>1.0000000002006857</v>
      </c>
      <c r="N46" s="340">
        <f t="shared" si="11"/>
        <v>2.003426276255217E-5</v>
      </c>
      <c r="O46" s="341">
        <f t="shared" si="12"/>
        <v>1.0000000001016645</v>
      </c>
      <c r="P46" s="342">
        <f t="shared" si="13"/>
        <v>3.1546743856529533E-5</v>
      </c>
      <c r="Q46" s="343">
        <f t="shared" si="14"/>
        <v>50.308519976101977</v>
      </c>
      <c r="R46" s="344">
        <f t="shared" si="15"/>
        <v>-89.574686408022842</v>
      </c>
      <c r="S46" s="346">
        <f t="shared" si="16"/>
        <v>90.425313591977158</v>
      </c>
      <c r="U46" s="319">
        <f t="shared" si="23"/>
        <v>1000000000</v>
      </c>
      <c r="V46" s="319">
        <f t="shared" si="24"/>
        <v>436.51744900000006</v>
      </c>
      <c r="X46" s="345">
        <f t="shared" si="17"/>
        <v>50.59257131153138</v>
      </c>
      <c r="Y46" s="346">
        <f t="shared" si="18"/>
        <v>-89.550368647290966</v>
      </c>
      <c r="AA46" s="345">
        <f t="shared" si="19"/>
        <v>32.93957753350297</v>
      </c>
      <c r="AB46" s="346">
        <f t="shared" si="20"/>
        <v>-2.4317760731872019E-2</v>
      </c>
      <c r="AD46">
        <f t="shared" si="25"/>
        <v>0</v>
      </c>
      <c r="AE46">
        <f t="shared" si="26"/>
        <v>0</v>
      </c>
    </row>
    <row r="47" spans="1:31" x14ac:dyDescent="0.2">
      <c r="A47" s="347">
        <v>22.909000000000002</v>
      </c>
      <c r="B47" s="364">
        <f t="shared" si="22"/>
        <v>2.2909000000000002E-2</v>
      </c>
      <c r="C47" s="337">
        <f t="shared" si="0"/>
        <v>1.0000000933728264</v>
      </c>
      <c r="D47" s="338">
        <f t="shared" si="1"/>
        <v>4.3214076213965246E-4</v>
      </c>
      <c r="E47" s="338">
        <f t="shared" si="2"/>
        <v>1.0000000000009153</v>
      </c>
      <c r="F47" s="339">
        <f t="shared" si="3"/>
        <v>1.3530500251535547E-6</v>
      </c>
      <c r="G47" s="338">
        <f t="shared" si="4"/>
        <v>1</v>
      </c>
      <c r="H47" s="339">
        <f t="shared" si="5"/>
        <v>0</v>
      </c>
      <c r="I47" s="337">
        <f t="shared" si="6"/>
        <v>248.73670155318291</v>
      </c>
      <c r="J47" s="340">
        <f t="shared" si="7"/>
        <v>1.5667760005318321</v>
      </c>
      <c r="K47" s="348">
        <f t="shared" si="8"/>
        <v>1.0000071939531638</v>
      </c>
      <c r="L47" s="349">
        <f t="shared" si="9"/>
        <v>3.793128006458351E-3</v>
      </c>
      <c r="M47" s="337">
        <f t="shared" si="10"/>
        <v>1.0000000002412834</v>
      </c>
      <c r="N47" s="340">
        <f t="shared" si="11"/>
        <v>2.1967401790785709E-5</v>
      </c>
      <c r="O47" s="341">
        <f t="shared" si="12"/>
        <v>1.0000000001222302</v>
      </c>
      <c r="P47" s="342">
        <f t="shared" si="13"/>
        <v>3.4590741158216701E-5</v>
      </c>
      <c r="Q47" s="343">
        <f t="shared" si="14"/>
        <v>49.508437993334852</v>
      </c>
      <c r="R47" s="344">
        <f t="shared" si="15"/>
        <v>-89.580245009956542</v>
      </c>
      <c r="S47" s="346">
        <f t="shared" si="16"/>
        <v>90.419754990043458</v>
      </c>
      <c r="U47" s="319">
        <f t="shared" si="23"/>
        <v>1000000000</v>
      </c>
      <c r="V47" s="319">
        <f t="shared" si="24"/>
        <v>524.82228100000009</v>
      </c>
      <c r="X47" s="345">
        <f t="shared" si="17"/>
        <v>49.792489465402063</v>
      </c>
      <c r="Y47" s="346">
        <f t="shared" si="18"/>
        <v>-89.553580788677223</v>
      </c>
      <c r="AA47" s="345">
        <f t="shared" si="19"/>
        <v>32.939577396865175</v>
      </c>
      <c r="AB47" s="346">
        <f t="shared" si="20"/>
        <v>-2.666422127932111E-2</v>
      </c>
      <c r="AD47">
        <f t="shared" si="25"/>
        <v>0</v>
      </c>
      <c r="AE47">
        <f t="shared" si="26"/>
        <v>0</v>
      </c>
    </row>
    <row r="48" spans="1:31" x14ac:dyDescent="0.2">
      <c r="A48" s="347">
        <v>25.119</v>
      </c>
      <c r="B48" s="364">
        <f t="shared" si="22"/>
        <v>2.5118999999999999E-2</v>
      </c>
      <c r="C48" s="337">
        <f t="shared" si="0"/>
        <v>1.00000011225687</v>
      </c>
      <c r="D48" s="338">
        <f t="shared" si="1"/>
        <v>4.7382878639526469E-4</v>
      </c>
      <c r="E48" s="338">
        <f t="shared" si="2"/>
        <v>1.0000000000011005</v>
      </c>
      <c r="F48" s="339">
        <f t="shared" si="3"/>
        <v>1.4835769165754917E-6</v>
      </c>
      <c r="G48" s="338">
        <f t="shared" si="4"/>
        <v>1</v>
      </c>
      <c r="H48" s="339">
        <f t="shared" si="5"/>
        <v>0</v>
      </c>
      <c r="I48" s="337">
        <f t="shared" si="6"/>
        <v>272.73162129571421</v>
      </c>
      <c r="J48" s="340">
        <f t="shared" si="7"/>
        <v>1.5671297103756785</v>
      </c>
      <c r="K48" s="348">
        <f t="shared" si="8"/>
        <v>1.0000086488769333</v>
      </c>
      <c r="L48" s="349">
        <f t="shared" si="9"/>
        <v>4.1590418603368188E-3</v>
      </c>
      <c r="M48" s="337">
        <f t="shared" si="10"/>
        <v>1.0000000002900813</v>
      </c>
      <c r="N48" s="340">
        <f t="shared" si="11"/>
        <v>2.4086567094364441E-5</v>
      </c>
      <c r="O48" s="341">
        <f t="shared" si="12"/>
        <v>1.0000000001469507</v>
      </c>
      <c r="P48" s="342">
        <f t="shared" si="13"/>
        <v>3.7927662803562331E-5</v>
      </c>
      <c r="Q48" s="343">
        <f t="shared" si="14"/>
        <v>48.708538000199574</v>
      </c>
      <c r="R48" s="344">
        <f t="shared" si="15"/>
        <v>-89.582239451651773</v>
      </c>
      <c r="S48" s="346">
        <f t="shared" si="16"/>
        <v>90.417760548348227</v>
      </c>
      <c r="U48" s="319">
        <f t="shared" si="23"/>
        <v>1000000000</v>
      </c>
      <c r="V48" s="319">
        <f t="shared" si="24"/>
        <v>630.96416099999999</v>
      </c>
      <c r="X48" s="345">
        <f t="shared" si="17"/>
        <v>48.992589636504597</v>
      </c>
      <c r="Y48" s="346">
        <f t="shared" si="18"/>
        <v>-89.55300296963658</v>
      </c>
      <c r="AA48" s="345">
        <f t="shared" si="19"/>
        <v>32.939577232627364</v>
      </c>
      <c r="AB48" s="346">
        <f t="shared" si="20"/>
        <v>-2.9236482015198649E-2</v>
      </c>
      <c r="AD48">
        <f t="shared" si="25"/>
        <v>0</v>
      </c>
      <c r="AE48">
        <f t="shared" si="26"/>
        <v>0</v>
      </c>
    </row>
    <row r="49" spans="1:31" x14ac:dyDescent="0.2">
      <c r="A49" s="347">
        <v>27.542000000000002</v>
      </c>
      <c r="B49" s="364">
        <f t="shared" si="22"/>
        <v>2.7542000000000001E-2</v>
      </c>
      <c r="C49" s="337">
        <f t="shared" si="0"/>
        <v>1.0000001349581695</v>
      </c>
      <c r="D49" s="338">
        <f t="shared" si="1"/>
        <v>5.1953470430328354E-4</v>
      </c>
      <c r="E49" s="338">
        <f t="shared" si="2"/>
        <v>1.0000000000013229</v>
      </c>
      <c r="F49" s="339">
        <f t="shared" si="3"/>
        <v>1.6266840016050053E-6</v>
      </c>
      <c r="G49" s="338">
        <f t="shared" si="4"/>
        <v>1</v>
      </c>
      <c r="H49" s="339">
        <f t="shared" si="5"/>
        <v>0</v>
      </c>
      <c r="I49" s="337">
        <f t="shared" si="6"/>
        <v>299.03920619141934</v>
      </c>
      <c r="J49" s="340">
        <f t="shared" si="7"/>
        <v>1.5674522774425852</v>
      </c>
      <c r="K49" s="348">
        <f t="shared" si="8"/>
        <v>1.0000103978989796</v>
      </c>
      <c r="L49" s="349">
        <f t="shared" si="9"/>
        <v>4.560221241027505E-3</v>
      </c>
      <c r="M49" s="337">
        <f t="shared" si="10"/>
        <v>1.0000000003487435</v>
      </c>
      <c r="N49" s="340">
        <f t="shared" si="11"/>
        <v>2.6409977741432438E-5</v>
      </c>
      <c r="O49" s="341">
        <f t="shared" si="12"/>
        <v>1.000000000176668</v>
      </c>
      <c r="P49" s="342">
        <f t="shared" si="13"/>
        <v>4.1586197259258622E-5</v>
      </c>
      <c r="Q49" s="343">
        <f t="shared" si="14"/>
        <v>47.908700254622339</v>
      </c>
      <c r="R49" s="344">
        <f t="shared" si="15"/>
        <v>-89.580688594823002</v>
      </c>
      <c r="S49" s="346">
        <f t="shared" si="16"/>
        <v>90.419311405176998</v>
      </c>
      <c r="U49" s="319">
        <f t="shared" si="23"/>
        <v>1000000000</v>
      </c>
      <c r="V49" s="319">
        <f t="shared" si="24"/>
        <v>758.56176400000004</v>
      </c>
      <c r="X49" s="345">
        <f t="shared" si="17"/>
        <v>48.192752088364507</v>
      </c>
      <c r="Y49" s="346">
        <f t="shared" si="18"/>
        <v>-89.548631937458168</v>
      </c>
      <c r="AA49" s="345">
        <f t="shared" si="19"/>
        <v>32.939577035190212</v>
      </c>
      <c r="AB49" s="346">
        <f t="shared" si="20"/>
        <v>-3.2056657364846038E-2</v>
      </c>
      <c r="AD49">
        <f t="shared" si="25"/>
        <v>0</v>
      </c>
      <c r="AE49">
        <f t="shared" si="26"/>
        <v>0</v>
      </c>
    </row>
    <row r="50" spans="1:31" x14ac:dyDescent="0.2">
      <c r="A50" s="347">
        <v>30.2</v>
      </c>
      <c r="B50" s="364">
        <f t="shared" si="22"/>
        <v>3.0199999999999998E-2</v>
      </c>
      <c r="C50" s="337">
        <f t="shared" si="0"/>
        <v>1.0000001622639754</v>
      </c>
      <c r="D50" s="338">
        <f t="shared" si="1"/>
        <v>5.696735089805176E-4</v>
      </c>
      <c r="E50" s="338">
        <f t="shared" si="2"/>
        <v>1.0000000000015907</v>
      </c>
      <c r="F50" s="339">
        <f t="shared" si="3"/>
        <v>1.7836706429621085E-6</v>
      </c>
      <c r="G50" s="338">
        <f t="shared" si="4"/>
        <v>1</v>
      </c>
      <c r="H50" s="339">
        <f t="shared" si="5"/>
        <v>0</v>
      </c>
      <c r="I50" s="337">
        <f t="shared" si="6"/>
        <v>327.89832000804768</v>
      </c>
      <c r="J50" s="340">
        <f t="shared" si="7"/>
        <v>1.5677465961646209</v>
      </c>
      <c r="K50" s="348">
        <f t="shared" si="8"/>
        <v>1.0000125016712682</v>
      </c>
      <c r="L50" s="349">
        <f t="shared" si="9"/>
        <v>5.0003081957842848E-3</v>
      </c>
      <c r="M50" s="337">
        <f t="shared" si="10"/>
        <v>1.0000000004193039</v>
      </c>
      <c r="N50" s="340">
        <f t="shared" si="11"/>
        <v>2.8958729495088996E-5</v>
      </c>
      <c r="O50" s="341">
        <f t="shared" si="12"/>
        <v>1.0000000002124128</v>
      </c>
      <c r="P50" s="342">
        <f t="shared" si="13"/>
        <v>4.5599562749907785E-5</v>
      </c>
      <c r="Q50" s="343">
        <f t="shared" si="14"/>
        <v>47.108497082005194</v>
      </c>
      <c r="R50" s="344">
        <f t="shared" si="15"/>
        <v>-89.575576419143786</v>
      </c>
      <c r="S50" s="346">
        <f t="shared" si="16"/>
        <v>90.424423580856214</v>
      </c>
      <c r="U50" s="319">
        <f t="shared" si="23"/>
        <v>1000000000</v>
      </c>
      <c r="V50" s="319">
        <f t="shared" si="24"/>
        <v>912.04</v>
      </c>
      <c r="X50" s="345">
        <f t="shared" si="17"/>
        <v>47.392549153230689</v>
      </c>
      <c r="Y50" s="346">
        <f t="shared" si="18"/>
        <v>-89.540426065645292</v>
      </c>
      <c r="AA50" s="345">
        <f t="shared" si="19"/>
        <v>32.939576797706891</v>
      </c>
      <c r="AB50" s="346">
        <f t="shared" si="20"/>
        <v>-3.5150353498485359E-2</v>
      </c>
      <c r="AD50">
        <f t="shared" si="25"/>
        <v>0</v>
      </c>
      <c r="AE50">
        <f t="shared" si="26"/>
        <v>0</v>
      </c>
    </row>
    <row r="51" spans="1:31" x14ac:dyDescent="0.2">
      <c r="A51" s="347">
        <v>33.113</v>
      </c>
      <c r="B51" s="364">
        <f t="shared" si="22"/>
        <v>3.3112999999999997E-2</v>
      </c>
      <c r="C51" s="337">
        <f t="shared" si="0"/>
        <v>1.0000001950766446</v>
      </c>
      <c r="D51" s="338">
        <f t="shared" si="1"/>
        <v>6.2462246656386027E-4</v>
      </c>
      <c r="E51" s="338">
        <f t="shared" si="2"/>
        <v>1.0000000000019125</v>
      </c>
      <c r="F51" s="339">
        <f t="shared" si="3"/>
        <v>1.9557180794831669E-6</v>
      </c>
      <c r="G51" s="338">
        <f t="shared" si="4"/>
        <v>1</v>
      </c>
      <c r="H51" s="339">
        <f t="shared" si="5"/>
        <v>0</v>
      </c>
      <c r="I51" s="337">
        <f t="shared" si="6"/>
        <v>359.52611183226628</v>
      </c>
      <c r="J51" s="340">
        <f t="shared" si="7"/>
        <v>1.5680148840665542</v>
      </c>
      <c r="K51" s="348">
        <f t="shared" si="8"/>
        <v>1.0000150297133705</v>
      </c>
      <c r="L51" s="349">
        <f t="shared" si="9"/>
        <v>5.4826134515230827E-3</v>
      </c>
      <c r="M51" s="337">
        <f t="shared" si="10"/>
        <v>1.0000000005040948</v>
      </c>
      <c r="N51" s="340">
        <f t="shared" si="11"/>
        <v>3.175200032174429E-5</v>
      </c>
      <c r="O51" s="341">
        <f t="shared" si="12"/>
        <v>1.0000000002553664</v>
      </c>
      <c r="P51" s="342">
        <f t="shared" si="13"/>
        <v>4.9997957661544848E-5</v>
      </c>
      <c r="Q51" s="343">
        <f t="shared" si="14"/>
        <v>46.308693824916382</v>
      </c>
      <c r="R51" s="344">
        <f t="shared" si="15"/>
        <v>-89.566864665878853</v>
      </c>
      <c r="S51" s="346">
        <f t="shared" si="16"/>
        <v>90.433135334121147</v>
      </c>
      <c r="U51" s="319">
        <f t="shared" si="23"/>
        <v>1000000000</v>
      </c>
      <c r="V51" s="319">
        <f t="shared" si="24"/>
        <v>1096.470769</v>
      </c>
      <c r="X51" s="345">
        <f t="shared" si="17"/>
        <v>46.592746181519345</v>
      </c>
      <c r="Y51" s="346">
        <f t="shared" si="18"/>
        <v>-89.52832381714525</v>
      </c>
      <c r="AA51" s="345">
        <f t="shared" si="19"/>
        <v>32.939576512329417</v>
      </c>
      <c r="AB51" s="346">
        <f t="shared" si="20"/>
        <v>-3.8540848733608399E-2</v>
      </c>
      <c r="AD51">
        <f t="shared" si="25"/>
        <v>0</v>
      </c>
      <c r="AE51">
        <f t="shared" si="26"/>
        <v>0</v>
      </c>
    </row>
    <row r="52" spans="1:31" x14ac:dyDescent="0.2">
      <c r="A52" s="347">
        <v>36.308</v>
      </c>
      <c r="B52" s="364">
        <f t="shared" si="22"/>
        <v>3.6308E-2</v>
      </c>
      <c r="C52" s="337">
        <f t="shared" si="0"/>
        <v>1.000000234537809</v>
      </c>
      <c r="D52" s="338">
        <f t="shared" si="1"/>
        <v>6.8489088634009925E-4</v>
      </c>
      <c r="E52" s="338">
        <f t="shared" si="2"/>
        <v>1.0000000000022993</v>
      </c>
      <c r="F52" s="339">
        <f t="shared" si="3"/>
        <v>2.1444209835972732E-6</v>
      </c>
      <c r="G52" s="338">
        <f t="shared" si="4"/>
        <v>1</v>
      </c>
      <c r="H52" s="339">
        <f t="shared" si="5"/>
        <v>0</v>
      </c>
      <c r="I52" s="337">
        <f t="shared" si="6"/>
        <v>394.21573317751597</v>
      </c>
      <c r="J52" s="340">
        <f t="shared" si="7"/>
        <v>1.5682596419589006</v>
      </c>
      <c r="K52" s="348">
        <f t="shared" si="8"/>
        <v>1.0000180699784003</v>
      </c>
      <c r="L52" s="349">
        <f t="shared" si="9"/>
        <v>6.011606490932144E-3</v>
      </c>
      <c r="M52" s="337">
        <f t="shared" si="10"/>
        <v>1.0000000006060656</v>
      </c>
      <c r="N52" s="340">
        <f t="shared" si="11"/>
        <v>3.4815680476052301E-5</v>
      </c>
      <c r="O52" s="341">
        <f t="shared" si="12"/>
        <v>1.0000000003070235</v>
      </c>
      <c r="P52" s="342">
        <f t="shared" si="13"/>
        <v>5.4822149815316922E-5</v>
      </c>
      <c r="Q52" s="343">
        <f t="shared" si="14"/>
        <v>45.508649587732712</v>
      </c>
      <c r="R52" s="344">
        <f t="shared" si="15"/>
        <v>-89.554473447552439</v>
      </c>
      <c r="S52" s="346">
        <f t="shared" si="16"/>
        <v>90.445526552447561</v>
      </c>
      <c r="U52" s="319">
        <f t="shared" si="23"/>
        <v>1000000000</v>
      </c>
      <c r="V52" s="319">
        <f t="shared" si="24"/>
        <v>1318.2708640000001</v>
      </c>
      <c r="X52" s="345">
        <f t="shared" si="17"/>
        <v>45.792702287536251</v>
      </c>
      <c r="Y52" s="346">
        <f t="shared" si="18"/>
        <v>-89.512213878753499</v>
      </c>
      <c r="AA52" s="345">
        <f t="shared" si="19"/>
        <v>32.939576169128848</v>
      </c>
      <c r="AB52" s="346">
        <f t="shared" si="20"/>
        <v>-4.225956879894259E-2</v>
      </c>
      <c r="AD52">
        <f t="shared" si="25"/>
        <v>0</v>
      </c>
      <c r="AE52">
        <f t="shared" si="26"/>
        <v>0</v>
      </c>
    </row>
    <row r="53" spans="1:31" x14ac:dyDescent="0.2">
      <c r="A53" s="347">
        <v>39.811</v>
      </c>
      <c r="B53" s="364">
        <f t="shared" si="22"/>
        <v>3.9810999999999999E-2</v>
      </c>
      <c r="C53" s="337">
        <f t="shared" si="0"/>
        <v>1.0000002819774463</v>
      </c>
      <c r="D53" s="338">
        <f t="shared" si="1"/>
        <v>7.5096921377530354E-4</v>
      </c>
      <c r="E53" s="338">
        <f t="shared" si="2"/>
        <v>1.0000000000027645</v>
      </c>
      <c r="F53" s="339">
        <f t="shared" si="3"/>
        <v>2.3513149657916868E-6</v>
      </c>
      <c r="G53" s="338">
        <f t="shared" si="4"/>
        <v>1</v>
      </c>
      <c r="H53" s="339">
        <f t="shared" si="5"/>
        <v>0</v>
      </c>
      <c r="I53" s="337">
        <f t="shared" si="6"/>
        <v>432.24947830982586</v>
      </c>
      <c r="J53" s="340">
        <f t="shared" si="7"/>
        <v>1.5684828459413325</v>
      </c>
      <c r="K53" s="348">
        <f t="shared" si="8"/>
        <v>1.0000217249286845</v>
      </c>
      <c r="L53" s="349">
        <f t="shared" si="9"/>
        <v>6.5915909128822945E-3</v>
      </c>
      <c r="M53" s="337">
        <f t="shared" si="10"/>
        <v>1.0000000007286538</v>
      </c>
      <c r="N53" s="340">
        <f t="shared" si="11"/>
        <v>3.8174701314279027E-5</v>
      </c>
      <c r="O53" s="341">
        <f t="shared" si="12"/>
        <v>1.0000000003691247</v>
      </c>
      <c r="P53" s="342">
        <f t="shared" si="13"/>
        <v>6.0111397113120397E-5</v>
      </c>
      <c r="Q53" s="343">
        <f t="shared" si="14"/>
        <v>44.708670424431247</v>
      </c>
      <c r="R53" s="344">
        <f t="shared" si="15"/>
        <v>-89.538301098528365</v>
      </c>
      <c r="S53" s="346">
        <f t="shared" si="16"/>
        <v>90.461698901471635</v>
      </c>
      <c r="U53" s="319">
        <f t="shared" si="23"/>
        <v>1000000000</v>
      </c>
      <c r="V53" s="319">
        <f t="shared" si="24"/>
        <v>1584.9157210000001</v>
      </c>
      <c r="X53" s="345">
        <f t="shared" si="17"/>
        <v>44.992723536825494</v>
      </c>
      <c r="Y53" s="346">
        <f t="shared" si="18"/>
        <v>-89.491964323050468</v>
      </c>
      <c r="AA53" s="345">
        <f t="shared" si="19"/>
        <v>32.939575756538133</v>
      </c>
      <c r="AB53" s="346">
        <f t="shared" si="20"/>
        <v>-4.6336775477900931E-2</v>
      </c>
      <c r="AD53">
        <f t="shared" si="25"/>
        <v>0</v>
      </c>
      <c r="AE53">
        <f t="shared" si="26"/>
        <v>0</v>
      </c>
    </row>
    <row r="54" spans="1:31" x14ac:dyDescent="0.2">
      <c r="A54" s="347">
        <v>43.652000000000001</v>
      </c>
      <c r="B54" s="364">
        <f t="shared" si="22"/>
        <v>4.3652000000000003E-2</v>
      </c>
      <c r="C54" s="337">
        <f t="shared" si="0"/>
        <v>1.0000003390131</v>
      </c>
      <c r="D54" s="338">
        <f t="shared" si="1"/>
        <v>8.2342334714654154E-4</v>
      </c>
      <c r="E54" s="338">
        <f t="shared" si="2"/>
        <v>1.0000000000033236</v>
      </c>
      <c r="F54" s="339">
        <f t="shared" si="3"/>
        <v>2.5781718843209279E-6</v>
      </c>
      <c r="G54" s="338">
        <f t="shared" si="4"/>
        <v>1</v>
      </c>
      <c r="H54" s="339">
        <f t="shared" si="5"/>
        <v>0</v>
      </c>
      <c r="I54" s="337">
        <f t="shared" si="6"/>
        <v>473.95307156452924</v>
      </c>
      <c r="J54" s="340">
        <f t="shared" si="7"/>
        <v>1.5686864116957997</v>
      </c>
      <c r="K54" s="348">
        <f t="shared" si="8"/>
        <v>1.0000261191792041</v>
      </c>
      <c r="L54" s="349">
        <f t="shared" si="9"/>
        <v>7.2275321801029161E-3</v>
      </c>
      <c r="M54" s="337">
        <f t="shared" si="10"/>
        <v>1.0000000008760388</v>
      </c>
      <c r="N54" s="340">
        <f t="shared" si="11"/>
        <v>4.1857829785917789E-5</v>
      </c>
      <c r="O54" s="341">
        <f t="shared" si="12"/>
        <v>1.0000000004437877</v>
      </c>
      <c r="P54" s="342">
        <f t="shared" si="13"/>
        <v>6.591099713409995E-5</v>
      </c>
      <c r="Q54" s="343">
        <f t="shared" si="14"/>
        <v>43.908690806717239</v>
      </c>
      <c r="R54" s="344">
        <f t="shared" si="15"/>
        <v>-89.518209444887191</v>
      </c>
      <c r="S54" s="346">
        <f t="shared" si="16"/>
        <v>90.481790555112809</v>
      </c>
      <c r="U54" s="319">
        <f t="shared" si="23"/>
        <v>1000000000</v>
      </c>
      <c r="V54" s="319">
        <f t="shared" si="24"/>
        <v>1905.497104</v>
      </c>
      <c r="X54" s="345">
        <f t="shared" si="17"/>
        <v>44.192744415160384</v>
      </c>
      <c r="Y54" s="346">
        <f t="shared" si="18"/>
        <v>-89.467402058693651</v>
      </c>
      <c r="AA54" s="345">
        <f t="shared" si="19"/>
        <v>32.939575260489235</v>
      </c>
      <c r="AB54" s="346">
        <f t="shared" si="20"/>
        <v>-5.0807386193540298E-2</v>
      </c>
      <c r="AD54">
        <f t="shared" si="25"/>
        <v>0</v>
      </c>
      <c r="AE54">
        <f t="shared" si="26"/>
        <v>0</v>
      </c>
    </row>
    <row r="55" spans="1:31" x14ac:dyDescent="0.2">
      <c r="A55" s="347">
        <v>47.863</v>
      </c>
      <c r="B55" s="364">
        <f t="shared" si="22"/>
        <v>4.7863000000000003E-2</v>
      </c>
      <c r="C55" s="337">
        <f t="shared" si="0"/>
        <v>1.000000407575439</v>
      </c>
      <c r="D55" s="338">
        <f t="shared" si="1"/>
        <v>9.0285691063514092E-4</v>
      </c>
      <c r="E55" s="338">
        <f t="shared" si="2"/>
        <v>1.0000000000039955</v>
      </c>
      <c r="F55" s="339">
        <f t="shared" si="3"/>
        <v>2.82688172132313E-6</v>
      </c>
      <c r="G55" s="338">
        <f t="shared" si="4"/>
        <v>1</v>
      </c>
      <c r="H55" s="339">
        <f t="shared" si="5"/>
        <v>0</v>
      </c>
      <c r="I55" s="337">
        <f t="shared" si="6"/>
        <v>519.67395240289522</v>
      </c>
      <c r="J55" s="340">
        <f t="shared" si="7"/>
        <v>1.5688720421304032</v>
      </c>
      <c r="K55" s="348">
        <f t="shared" si="8"/>
        <v>1.0000314014655363</v>
      </c>
      <c r="L55" s="349">
        <f t="shared" si="9"/>
        <v>7.9247263483550618E-3</v>
      </c>
      <c r="M55" s="337">
        <f t="shared" si="10"/>
        <v>1.00000000105321</v>
      </c>
      <c r="N55" s="340">
        <f t="shared" si="11"/>
        <v>4.5895750637009731E-5</v>
      </c>
      <c r="O55" s="341">
        <f t="shared" si="12"/>
        <v>1.0000000005335399</v>
      </c>
      <c r="P55" s="342">
        <f t="shared" si="13"/>
        <v>7.2269267296074199E-5</v>
      </c>
      <c r="Q55" s="343">
        <f t="shared" si="14"/>
        <v>43.108823947259964</v>
      </c>
      <c r="R55" s="344">
        <f t="shared" si="15"/>
        <v>-89.494031617753208</v>
      </c>
      <c r="S55" s="346">
        <f t="shared" si="16"/>
        <v>90.505968382246792</v>
      </c>
      <c r="U55" s="319">
        <f t="shared" si="23"/>
        <v>1000000000</v>
      </c>
      <c r="V55" s="319">
        <f t="shared" si="24"/>
        <v>2290.8667689999997</v>
      </c>
      <c r="X55" s="345">
        <f t="shared" si="17"/>
        <v>43.392878152001529</v>
      </c>
      <c r="Y55" s="346">
        <f t="shared" si="18"/>
        <v>-89.43832297159318</v>
      </c>
      <c r="AA55" s="345">
        <f t="shared" si="19"/>
        <v>32.939574664190808</v>
      </c>
      <c r="AB55" s="346">
        <f t="shared" si="20"/>
        <v>-5.5708646160023495E-2</v>
      </c>
      <c r="AD55">
        <f t="shared" si="25"/>
        <v>0</v>
      </c>
      <c r="AE55">
        <f t="shared" si="26"/>
        <v>0</v>
      </c>
    </row>
    <row r="56" spans="1:31" x14ac:dyDescent="0.2">
      <c r="A56" s="347">
        <v>52.481000000000002</v>
      </c>
      <c r="B56" s="364">
        <f t="shared" si="22"/>
        <v>5.2481E-2</v>
      </c>
      <c r="C56" s="337">
        <f t="shared" si="0"/>
        <v>1.0000004900183663</v>
      </c>
      <c r="D56" s="338">
        <f t="shared" si="1"/>
        <v>9.8996784411321381E-4</v>
      </c>
      <c r="E56" s="338">
        <f t="shared" si="2"/>
        <v>1.0000000000048037</v>
      </c>
      <c r="F56" s="339">
        <f t="shared" si="3"/>
        <v>3.0996297686454937E-6</v>
      </c>
      <c r="G56" s="338">
        <f t="shared" si="4"/>
        <v>1</v>
      </c>
      <c r="H56" s="339">
        <f t="shared" si="5"/>
        <v>0</v>
      </c>
      <c r="I56" s="337">
        <f t="shared" si="6"/>
        <v>569.81384787174159</v>
      </c>
      <c r="J56" s="340">
        <f t="shared" si="7"/>
        <v>1.5690413667898893</v>
      </c>
      <c r="K56" s="348">
        <f t="shared" si="8"/>
        <v>1.0000377531252806</v>
      </c>
      <c r="L56" s="349">
        <f t="shared" si="9"/>
        <v>8.6892965849026775E-3</v>
      </c>
      <c r="M56" s="337">
        <f t="shared" si="10"/>
        <v>1.0000000012662495</v>
      </c>
      <c r="N56" s="340">
        <f t="shared" si="11"/>
        <v>5.0323943105087744E-5</v>
      </c>
      <c r="O56" s="341">
        <f t="shared" si="12"/>
        <v>1.0000000006414624</v>
      </c>
      <c r="P56" s="342">
        <f t="shared" si="13"/>
        <v>7.9242074613454288E-5</v>
      </c>
      <c r="Q56" s="343">
        <f t="shared" si="14"/>
        <v>42.308837392139232</v>
      </c>
      <c r="R56" s="344">
        <f t="shared" si="15"/>
        <v>-89.4655552490769</v>
      </c>
      <c r="S56" s="346">
        <f t="shared" si="16"/>
        <v>90.5344447509231</v>
      </c>
      <c r="U56" s="319">
        <f t="shared" si="23"/>
        <v>1000000000</v>
      </c>
      <c r="V56" s="319">
        <f t="shared" si="24"/>
        <v>2754.255361</v>
      </c>
      <c r="X56" s="345">
        <f t="shared" si="17"/>
        <v>42.592892313901046</v>
      </c>
      <c r="Y56" s="346">
        <f t="shared" si="18"/>
        <v>-89.40447162895434</v>
      </c>
      <c r="AA56" s="345">
        <f t="shared" si="19"/>
        <v>32.939573947170572</v>
      </c>
      <c r="AB56" s="346">
        <f t="shared" si="20"/>
        <v>-6.1083620122565553E-2</v>
      </c>
      <c r="AD56">
        <f t="shared" si="25"/>
        <v>0</v>
      </c>
      <c r="AE56">
        <f t="shared" si="26"/>
        <v>0</v>
      </c>
    </row>
    <row r="57" spans="1:31" x14ac:dyDescent="0.2">
      <c r="A57" s="347">
        <v>57.544000000000004</v>
      </c>
      <c r="B57" s="364">
        <f t="shared" si="22"/>
        <v>5.7544000000000005E-2</v>
      </c>
      <c r="C57" s="337">
        <f t="shared" si="0"/>
        <v>1.0000005891260511</v>
      </c>
      <c r="D57" s="338">
        <f t="shared" si="1"/>
        <v>1.0854729494056883E-3</v>
      </c>
      <c r="E57" s="338">
        <f t="shared" si="2"/>
        <v>1.0000000000057754</v>
      </c>
      <c r="F57" s="339">
        <f t="shared" si="3"/>
        <v>3.3986603800769949E-6</v>
      </c>
      <c r="G57" s="338">
        <f t="shared" si="4"/>
        <v>1</v>
      </c>
      <c r="H57" s="339">
        <f t="shared" si="5"/>
        <v>0</v>
      </c>
      <c r="I57" s="337">
        <f t="shared" si="6"/>
        <v>624.78534264707002</v>
      </c>
      <c r="J57" s="340">
        <f t="shared" si="7"/>
        <v>1.5691957763999023</v>
      </c>
      <c r="K57" s="348">
        <f t="shared" si="8"/>
        <v>1.0000453886371168</v>
      </c>
      <c r="L57" s="349">
        <f t="shared" si="9"/>
        <v>9.5275306779435825E-3</v>
      </c>
      <c r="M57" s="337">
        <f t="shared" si="10"/>
        <v>1.0000000015223525</v>
      </c>
      <c r="N57" s="340">
        <f t="shared" si="11"/>
        <v>5.5178845325827389E-5</v>
      </c>
      <c r="O57" s="341">
        <f t="shared" si="12"/>
        <v>1.0000000007712</v>
      </c>
      <c r="P57" s="342">
        <f t="shared" si="13"/>
        <v>8.6886796020087446E-5</v>
      </c>
      <c r="Q57" s="343">
        <f t="shared" si="14"/>
        <v>41.508946185084952</v>
      </c>
      <c r="R57" s="344">
        <f t="shared" si="15"/>
        <v>-89.432546074176543</v>
      </c>
      <c r="S57" s="346">
        <f t="shared" si="16"/>
        <v>90.567453925823457</v>
      </c>
      <c r="U57" s="319">
        <f t="shared" si="23"/>
        <v>1000000000</v>
      </c>
      <c r="V57" s="319">
        <f t="shared" si="24"/>
        <v>3311.3119360000005</v>
      </c>
      <c r="X57" s="345">
        <f t="shared" si="17"/>
        <v>41.793001968803154</v>
      </c>
      <c r="Y57" s="346">
        <f t="shared" si="18"/>
        <v>-89.36556953751186</v>
      </c>
      <c r="AA57" s="345">
        <f t="shared" si="19"/>
        <v>32.939573085214178</v>
      </c>
      <c r="AB57" s="346">
        <f t="shared" si="20"/>
        <v>-6.6976536664683686E-2</v>
      </c>
      <c r="AD57">
        <f t="shared" si="25"/>
        <v>0</v>
      </c>
      <c r="AE57">
        <f t="shared" si="26"/>
        <v>0</v>
      </c>
    </row>
    <row r="58" spans="1:31" x14ac:dyDescent="0.2">
      <c r="A58" s="347">
        <v>63.095999999999997</v>
      </c>
      <c r="B58" s="364">
        <f t="shared" si="22"/>
        <v>6.3095999999999999E-2</v>
      </c>
      <c r="C58" s="337">
        <f t="shared" si="0"/>
        <v>1.0000007082910642</v>
      </c>
      <c r="D58" s="338">
        <f t="shared" si="1"/>
        <v>1.1902022065673043E-3</v>
      </c>
      <c r="E58" s="338">
        <f t="shared" si="2"/>
        <v>1.0000000000069438</v>
      </c>
      <c r="F58" s="339">
        <f t="shared" si="3"/>
        <v>3.7265722810574692E-6</v>
      </c>
      <c r="G58" s="338">
        <f t="shared" si="4"/>
        <v>1</v>
      </c>
      <c r="H58" s="339">
        <f t="shared" si="5"/>
        <v>0</v>
      </c>
      <c r="I58" s="337">
        <f t="shared" si="6"/>
        <v>685.06616648773377</v>
      </c>
      <c r="J58" s="340">
        <f t="shared" si="7"/>
        <v>1.5693366132605759</v>
      </c>
      <c r="K58" s="348">
        <f t="shared" si="8"/>
        <v>1.0000545693411025</v>
      </c>
      <c r="L58" s="349">
        <f t="shared" si="9"/>
        <v>1.0446708544542547E-2</v>
      </c>
      <c r="M58" s="337">
        <f t="shared" si="10"/>
        <v>1.0000000018302853</v>
      </c>
      <c r="N58" s="340">
        <f t="shared" si="11"/>
        <v>6.0502648824615594E-5</v>
      </c>
      <c r="O58" s="341">
        <f t="shared" si="12"/>
        <v>1.0000000009271941</v>
      </c>
      <c r="P58" s="342">
        <f t="shared" si="13"/>
        <v>9.5269867965791348E-5</v>
      </c>
      <c r="Q58" s="343">
        <f t="shared" si="14"/>
        <v>40.708991145905429</v>
      </c>
      <c r="R58" s="344">
        <f t="shared" si="15"/>
        <v>-89.394717522044033</v>
      </c>
      <c r="S58" s="346">
        <f t="shared" si="16"/>
        <v>90.605282477955967</v>
      </c>
      <c r="U58" s="319">
        <f t="shared" si="23"/>
        <v>1000000000</v>
      </c>
      <c r="V58" s="319">
        <f t="shared" si="24"/>
        <v>3981.1052159999995</v>
      </c>
      <c r="X58" s="345">
        <f t="shared" si="17"/>
        <v>40.993047966021905</v>
      </c>
      <c r="Y58" s="346">
        <f t="shared" si="18"/>
        <v>-89.321278914271204</v>
      </c>
      <c r="AA58" s="345">
        <f t="shared" si="19"/>
        <v>32.939572048815904</v>
      </c>
      <c r="AB58" s="346">
        <f t="shared" si="20"/>
        <v>-7.3438607772833578E-2</v>
      </c>
      <c r="AD58">
        <f t="shared" si="25"/>
        <v>0</v>
      </c>
      <c r="AE58">
        <f t="shared" si="26"/>
        <v>0</v>
      </c>
    </row>
    <row r="59" spans="1:31" x14ac:dyDescent="0.2">
      <c r="A59" s="347">
        <v>69.183000000000007</v>
      </c>
      <c r="B59" s="364">
        <f t="shared" si="22"/>
        <v>6.9183000000000008E-2</v>
      </c>
      <c r="C59" s="337">
        <f t="shared" si="0"/>
        <v>1.000000851543537</v>
      </c>
      <c r="D59" s="338">
        <f t="shared" si="1"/>
        <v>1.3050233199121488E-3</v>
      </c>
      <c r="E59" s="338">
        <f t="shared" si="2"/>
        <v>1.000000000008348</v>
      </c>
      <c r="F59" s="339">
        <f t="shared" si="3"/>
        <v>4.0860823209103207E-6</v>
      </c>
      <c r="G59" s="338">
        <f t="shared" si="4"/>
        <v>1</v>
      </c>
      <c r="H59" s="339">
        <f t="shared" si="5"/>
        <v>0</v>
      </c>
      <c r="I59" s="337">
        <f t="shared" si="6"/>
        <v>751.15576425966981</v>
      </c>
      <c r="J59" s="340">
        <f t="shared" si="7"/>
        <v>1.5694650445988916</v>
      </c>
      <c r="K59" s="348">
        <f t="shared" si="8"/>
        <v>1.0000656056796338</v>
      </c>
      <c r="L59" s="349">
        <f t="shared" si="9"/>
        <v>1.1454439582987835E-2</v>
      </c>
      <c r="M59" s="337">
        <f t="shared" si="10"/>
        <v>1.000000002200462</v>
      </c>
      <c r="N59" s="340">
        <f t="shared" si="11"/>
        <v>6.6339462923171058E-5</v>
      </c>
      <c r="O59" s="341">
        <f t="shared" si="12"/>
        <v>1.0000000011147199</v>
      </c>
      <c r="P59" s="342">
        <f t="shared" si="13"/>
        <v>1.0446074673922093E-4</v>
      </c>
      <c r="Q59" s="343">
        <f t="shared" si="14"/>
        <v>39.909136054380937</v>
      </c>
      <c r="R59" s="344">
        <f t="shared" si="15"/>
        <v>-89.351756550413469</v>
      </c>
      <c r="S59" s="346">
        <f t="shared" si="16"/>
        <v>90.648243449586531</v>
      </c>
      <c r="U59" s="319">
        <f t="shared" si="23"/>
        <v>1000000000</v>
      </c>
      <c r="V59" s="319">
        <f t="shared" si="24"/>
        <v>4786.2874890000012</v>
      </c>
      <c r="X59" s="345">
        <f t="shared" si="17"/>
        <v>40.193194120388249</v>
      </c>
      <c r="Y59" s="346">
        <f t="shared" si="18"/>
        <v>-89.271233177283122</v>
      </c>
      <c r="AA59" s="345">
        <f t="shared" si="19"/>
        <v>32.939570802925068</v>
      </c>
      <c r="AB59" s="346">
        <f t="shared" si="20"/>
        <v>-8.0523373130339693E-2</v>
      </c>
      <c r="AD59">
        <f t="shared" si="25"/>
        <v>0</v>
      </c>
      <c r="AE59">
        <f t="shared" si="26"/>
        <v>0</v>
      </c>
    </row>
    <row r="60" spans="1:31" x14ac:dyDescent="0.2">
      <c r="A60" s="347">
        <v>75.858000000000004</v>
      </c>
      <c r="B60" s="364">
        <f t="shared" si="22"/>
        <v>7.5858000000000009E-2</v>
      </c>
      <c r="C60" s="337">
        <f t="shared" si="0"/>
        <v>1.00000102378984</v>
      </c>
      <c r="D60" s="338">
        <f t="shared" si="1"/>
        <v>1.4309360339108579E-3</v>
      </c>
      <c r="E60" s="338">
        <f t="shared" si="2"/>
        <v>1.0000000000100366</v>
      </c>
      <c r="F60" s="339">
        <f t="shared" si="3"/>
        <v>4.4803207825515823E-6</v>
      </c>
      <c r="G60" s="338">
        <f t="shared" si="4"/>
        <v>1</v>
      </c>
      <c r="H60" s="339">
        <f t="shared" si="5"/>
        <v>0</v>
      </c>
      <c r="I60" s="337">
        <f t="shared" si="6"/>
        <v>823.62958342181332</v>
      </c>
      <c r="J60" s="340">
        <f t="shared" si="7"/>
        <v>1.5695821884664334</v>
      </c>
      <c r="K60" s="348">
        <f t="shared" si="8"/>
        <v>1.0000788755776924</v>
      </c>
      <c r="L60" s="349">
        <f t="shared" si="9"/>
        <v>1.2559489924138051E-2</v>
      </c>
      <c r="M60" s="337">
        <f t="shared" si="10"/>
        <v>1.0000000026455618</v>
      </c>
      <c r="N60" s="340">
        <f t="shared" si="11"/>
        <v>7.2740109231063076E-5</v>
      </c>
      <c r="O60" s="341">
        <f t="shared" si="12"/>
        <v>1.0000000013402004</v>
      </c>
      <c r="P60" s="342">
        <f t="shared" si="13"/>
        <v>1.145394580644402E-4</v>
      </c>
      <c r="Q60" s="343">
        <f t="shared" si="14"/>
        <v>39.109211143722383</v>
      </c>
      <c r="R60" s="344">
        <f t="shared" si="15"/>
        <v>-89.303289555407332</v>
      </c>
      <c r="S60" s="346">
        <f t="shared" si="16"/>
        <v>90.696710444592668</v>
      </c>
      <c r="U60" s="319">
        <f t="shared" si="23"/>
        <v>1000000000</v>
      </c>
      <c r="V60" s="319">
        <f t="shared" si="24"/>
        <v>5754.4361640000006</v>
      </c>
      <c r="X60" s="345">
        <f t="shared" si="17"/>
        <v>39.393270707784495</v>
      </c>
      <c r="Y60" s="346">
        <f t="shared" si="18"/>
        <v>-89.214997035747047</v>
      </c>
      <c r="AA60" s="345">
        <f t="shared" si="19"/>
        <v>32.939569304870261</v>
      </c>
      <c r="AB60" s="346">
        <f t="shared" si="20"/>
        <v>-8.8292519660273058E-2</v>
      </c>
      <c r="AD60">
        <f t="shared" si="25"/>
        <v>0</v>
      </c>
      <c r="AE60">
        <f t="shared" si="26"/>
        <v>0</v>
      </c>
    </row>
    <row r="61" spans="1:31" x14ac:dyDescent="0.2">
      <c r="A61" s="347">
        <v>83.176000000000002</v>
      </c>
      <c r="B61" s="364">
        <f t="shared" si="22"/>
        <v>8.3176E-2</v>
      </c>
      <c r="C61" s="337">
        <f t="shared" si="0"/>
        <v>1.0000012308469552</v>
      </c>
      <c r="D61" s="338">
        <f t="shared" si="1"/>
        <v>1.5689778154888928E-3</v>
      </c>
      <c r="E61" s="338">
        <f t="shared" si="2"/>
        <v>1.0000000000120663</v>
      </c>
      <c r="F61" s="339">
        <f t="shared" si="3"/>
        <v>4.9125360727808021E-6</v>
      </c>
      <c r="G61" s="338">
        <f t="shared" si="4"/>
        <v>1</v>
      </c>
      <c r="H61" s="339">
        <f t="shared" si="5"/>
        <v>0</v>
      </c>
      <c r="I61" s="337">
        <f t="shared" si="6"/>
        <v>903.08478652868996</v>
      </c>
      <c r="J61" s="340">
        <f t="shared" si="7"/>
        <v>1.5696890108271435</v>
      </c>
      <c r="K61" s="348">
        <f t="shared" si="8"/>
        <v>1.0000948270793681</v>
      </c>
      <c r="L61" s="349">
        <f t="shared" si="9"/>
        <v>1.3770953960808758E-2</v>
      </c>
      <c r="M61" s="337">
        <f t="shared" si="10"/>
        <v>1.0000000031806155</v>
      </c>
      <c r="N61" s="340">
        <f t="shared" si="11"/>
        <v>7.9757327153955662E-5</v>
      </c>
      <c r="O61" s="341">
        <f t="shared" si="12"/>
        <v>1.0000000016112505</v>
      </c>
      <c r="P61" s="342">
        <f t="shared" si="13"/>
        <v>1.2558904750452956E-4</v>
      </c>
      <c r="Q61" s="343">
        <f t="shared" si="14"/>
        <v>38.309416103348688</v>
      </c>
      <c r="R61" s="344">
        <f t="shared" si="15"/>
        <v>-89.24891784861849</v>
      </c>
      <c r="S61" s="346">
        <f t="shared" si="16"/>
        <v>90.75108215138151</v>
      </c>
      <c r="U61" s="319">
        <f t="shared" si="23"/>
        <v>1000000000</v>
      </c>
      <c r="V61" s="319">
        <f t="shared" si="24"/>
        <v>6918.2469760000004</v>
      </c>
      <c r="X61" s="345">
        <f t="shared" si="17"/>
        <v>38.593477468220712</v>
      </c>
      <c r="Y61" s="346">
        <f t="shared" si="18"/>
        <v>-89.152107786739293</v>
      </c>
      <c r="AA61" s="345">
        <f t="shared" si="19"/>
        <v>32.939567504060356</v>
      </c>
      <c r="AB61" s="346">
        <f t="shared" si="20"/>
        <v>-9.6810061879192222E-2</v>
      </c>
      <c r="AD61">
        <f t="shared" si="25"/>
        <v>0</v>
      </c>
      <c r="AE61">
        <f t="shared" si="26"/>
        <v>0</v>
      </c>
    </row>
    <row r="62" spans="1:31" x14ac:dyDescent="0.2">
      <c r="A62" s="347">
        <v>91.201000000000008</v>
      </c>
      <c r="B62" s="364">
        <f t="shared" si="22"/>
        <v>9.1201000000000004E-2</v>
      </c>
      <c r="C62" s="337">
        <f t="shared" si="0"/>
        <v>1.0000014798140291</v>
      </c>
      <c r="D62" s="338">
        <f t="shared" si="1"/>
        <v>1.7203558959344003E-3</v>
      </c>
      <c r="E62" s="338">
        <f t="shared" si="2"/>
        <v>1.0000000000145073</v>
      </c>
      <c r="F62" s="339">
        <f t="shared" si="3"/>
        <v>5.3865081558737247E-6</v>
      </c>
      <c r="G62" s="338">
        <f t="shared" si="4"/>
        <v>1</v>
      </c>
      <c r="H62" s="339">
        <f t="shared" si="5"/>
        <v>0</v>
      </c>
      <c r="I62" s="337">
        <f t="shared" si="6"/>
        <v>990.21625373849986</v>
      </c>
      <c r="J62" s="340">
        <f t="shared" si="7"/>
        <v>1.5697864462095183</v>
      </c>
      <c r="K62" s="348">
        <f t="shared" si="8"/>
        <v>1.0001140069556369</v>
      </c>
      <c r="L62" s="349">
        <f t="shared" si="9"/>
        <v>1.5099412264645146E-2</v>
      </c>
      <c r="M62" s="337">
        <f t="shared" si="10"/>
        <v>1.0000000038239687</v>
      </c>
      <c r="N62" s="340">
        <f t="shared" si="11"/>
        <v>8.745248618168824E-5</v>
      </c>
      <c r="O62" s="341">
        <f t="shared" si="12"/>
        <v>1.0000000019371631</v>
      </c>
      <c r="P62" s="342">
        <f t="shared" si="13"/>
        <v>1.3770614989682111E-4</v>
      </c>
      <c r="Q62" s="343">
        <f t="shared" si="14"/>
        <v>37.50955001847047</v>
      </c>
      <c r="R62" s="344">
        <f t="shared" si="15"/>
        <v>-89.188166758147787</v>
      </c>
      <c r="S62" s="346">
        <f t="shared" si="16"/>
        <v>90.811833241852213</v>
      </c>
      <c r="U62" s="319">
        <f t="shared" si="23"/>
        <v>1000000000</v>
      </c>
      <c r="V62" s="319">
        <f t="shared" si="24"/>
        <v>8317.6224010000005</v>
      </c>
      <c r="X62" s="345">
        <f t="shared" si="17"/>
        <v>37.793613548649731</v>
      </c>
      <c r="Y62" s="346">
        <f t="shared" si="18"/>
        <v>-89.082016268910564</v>
      </c>
      <c r="AA62" s="345">
        <f t="shared" si="19"/>
        <v>32.939565338753127</v>
      </c>
      <c r="AB62" s="346">
        <f t="shared" si="20"/>
        <v>-0.10615048923722258</v>
      </c>
      <c r="AD62">
        <f t="shared" si="25"/>
        <v>0</v>
      </c>
      <c r="AE62">
        <f t="shared" si="26"/>
        <v>0</v>
      </c>
    </row>
    <row r="63" spans="1:31" x14ac:dyDescent="0.2">
      <c r="A63" s="347">
        <v>100</v>
      </c>
      <c r="B63" s="364">
        <f t="shared" si="22"/>
        <v>0.1</v>
      </c>
      <c r="C63" s="337">
        <f t="shared" si="0"/>
        <v>1.0000017791307856</v>
      </c>
      <c r="D63" s="338">
        <f t="shared" si="1"/>
        <v>1.8863340891517419E-3</v>
      </c>
      <c r="E63" s="338">
        <f t="shared" si="2"/>
        <v>1.0000000000174416</v>
      </c>
      <c r="F63" s="339">
        <f t="shared" si="3"/>
        <v>5.9061941819313249E-6</v>
      </c>
      <c r="G63" s="338">
        <f t="shared" si="4"/>
        <v>1</v>
      </c>
      <c r="H63" s="339">
        <f t="shared" si="5"/>
        <v>0</v>
      </c>
      <c r="I63" s="337">
        <f t="shared" si="6"/>
        <v>1085.7514378005578</v>
      </c>
      <c r="J63" s="340">
        <f t="shared" si="7"/>
        <v>1.56987530554955</v>
      </c>
      <c r="K63" s="348">
        <f t="shared" si="8"/>
        <v>1.000137065180206</v>
      </c>
      <c r="L63" s="349">
        <f t="shared" si="9"/>
        <v>1.6555937081138145E-2</v>
      </c>
      <c r="M63" s="337">
        <f t="shared" si="10"/>
        <v>1.00000000459743</v>
      </c>
      <c r="N63" s="340">
        <f t="shared" si="11"/>
        <v>9.5889832498102142E-5</v>
      </c>
      <c r="O63" s="341">
        <f t="shared" si="12"/>
        <v>1.0000000023289866</v>
      </c>
      <c r="P63" s="342">
        <f t="shared" si="13"/>
        <v>1.5099192983727709E-4</v>
      </c>
      <c r="Q63" s="343">
        <f t="shared" si="14"/>
        <v>36.709740415821891</v>
      </c>
      <c r="R63" s="344">
        <f t="shared" si="15"/>
        <v>-89.120530016082455</v>
      </c>
      <c r="S63" s="346">
        <f t="shared" si="16"/>
        <v>90.879469983917545</v>
      </c>
      <c r="U63" s="319">
        <f t="shared" si="23"/>
        <v>1000000000</v>
      </c>
      <c r="V63" s="319">
        <f t="shared" si="24"/>
        <v>10000</v>
      </c>
      <c r="X63" s="345">
        <f t="shared" si="17"/>
        <v>36.993806549207072</v>
      </c>
      <c r="Y63" s="346">
        <f t="shared" si="18"/>
        <v>-89.00413823356881</v>
      </c>
      <c r="AA63" s="345">
        <f t="shared" si="19"/>
        <v>32.939562735547199</v>
      </c>
      <c r="AB63" s="346">
        <f t="shared" si="20"/>
        <v>-0.11639178251364821</v>
      </c>
      <c r="AD63">
        <f t="shared" si="25"/>
        <v>0</v>
      </c>
      <c r="AE63">
        <f t="shared" si="26"/>
        <v>0</v>
      </c>
    </row>
    <row r="64" spans="1:31" x14ac:dyDescent="0.2">
      <c r="A64" s="347">
        <v>109.65</v>
      </c>
      <c r="B64" s="364">
        <f t="shared" si="22"/>
        <v>0.10965000000000001</v>
      </c>
      <c r="C64" s="337">
        <f t="shared" si="0"/>
        <v>1.0000021390703531</v>
      </c>
      <c r="D64" s="338">
        <f t="shared" si="1"/>
        <v>2.0683648324313101E-3</v>
      </c>
      <c r="E64" s="338">
        <f t="shared" si="2"/>
        <v>1.0000000000209703</v>
      </c>
      <c r="F64" s="339">
        <f t="shared" si="3"/>
        <v>6.4761419204724633E-6</v>
      </c>
      <c r="G64" s="338">
        <f t="shared" si="4"/>
        <v>1</v>
      </c>
      <c r="H64" s="339">
        <f t="shared" si="5"/>
        <v>0</v>
      </c>
      <c r="I64" s="337">
        <f t="shared" si="6"/>
        <v>1190.5263665807511</v>
      </c>
      <c r="J64" s="340">
        <f t="shared" si="7"/>
        <v>1.5699563620988923</v>
      </c>
      <c r="K64" s="348">
        <f t="shared" si="8"/>
        <v>1.0001647928607049</v>
      </c>
      <c r="L64" s="349">
        <f t="shared" si="9"/>
        <v>1.8153249478502387E-2</v>
      </c>
      <c r="M64" s="337">
        <f t="shared" si="10"/>
        <v>1.0000000055275464</v>
      </c>
      <c r="N64" s="340">
        <f t="shared" si="11"/>
        <v>1.0514320126897208E-4</v>
      </c>
      <c r="O64" s="341">
        <f t="shared" si="12"/>
        <v>1.0000000028001692</v>
      </c>
      <c r="P64" s="342">
        <f t="shared" si="13"/>
        <v>1.655626511158384E-4</v>
      </c>
      <c r="Q64" s="343">
        <f t="shared" si="14"/>
        <v>35.909805980159184</v>
      </c>
      <c r="R64" s="344">
        <f t="shared" si="15"/>
        <v>-89.0454169127851</v>
      </c>
      <c r="S64" s="346">
        <f t="shared" si="16"/>
        <v>90.9545830872149</v>
      </c>
      <c r="U64" s="319">
        <f t="shared" si="23"/>
        <v>1000000000</v>
      </c>
      <c r="V64" s="319">
        <f t="shared" si="24"/>
        <v>12023.122500000001</v>
      </c>
      <c r="X64" s="345">
        <f t="shared" si="17"/>
        <v>36.193875243995585</v>
      </c>
      <c r="Y64" s="346">
        <f t="shared" si="18"/>
        <v>-88.917793351693305</v>
      </c>
      <c r="AA64" s="345">
        <f t="shared" si="19"/>
        <v>32.939559605095972</v>
      </c>
      <c r="AB64" s="346">
        <f t="shared" si="20"/>
        <v>-0.12762356109179263</v>
      </c>
      <c r="AD64">
        <f t="shared" si="25"/>
        <v>0</v>
      </c>
      <c r="AE64">
        <f t="shared" si="26"/>
        <v>0</v>
      </c>
    </row>
    <row r="65" spans="1:31" x14ac:dyDescent="0.2">
      <c r="A65" s="347">
        <v>120.23</v>
      </c>
      <c r="B65" s="364">
        <f t="shared" si="22"/>
        <v>0.12023</v>
      </c>
      <c r="C65" s="337">
        <f t="shared" si="0"/>
        <v>1.0000025717775258</v>
      </c>
      <c r="D65" s="338">
        <f t="shared" si="1"/>
        <v>2.2679382769394802E-3</v>
      </c>
      <c r="E65" s="338">
        <f t="shared" si="2"/>
        <v>1.0000000000252123</v>
      </c>
      <c r="F65" s="339">
        <f t="shared" si="3"/>
        <v>7.101017264899246E-6</v>
      </c>
      <c r="G65" s="338">
        <f t="shared" si="4"/>
        <v>1</v>
      </c>
      <c r="H65" s="339">
        <f t="shared" si="5"/>
        <v>0</v>
      </c>
      <c r="I65" s="337">
        <f t="shared" si="6"/>
        <v>1305.3987830204237</v>
      </c>
      <c r="J65" s="340">
        <f t="shared" si="7"/>
        <v>1.5700302772851127</v>
      </c>
      <c r="K65" s="348">
        <f t="shared" si="8"/>
        <v>1.0001981251360248</v>
      </c>
      <c r="L65" s="349">
        <f t="shared" si="9"/>
        <v>1.9904392994828175E-2</v>
      </c>
      <c r="M65" s="337">
        <f t="shared" si="10"/>
        <v>1.0000000066457013</v>
      </c>
      <c r="N65" s="340">
        <f t="shared" si="11"/>
        <v>1.1528834545504034E-4</v>
      </c>
      <c r="O65" s="341">
        <f t="shared" si="12"/>
        <v>1.0000000033666092</v>
      </c>
      <c r="P65" s="342">
        <f t="shared" si="13"/>
        <v>1.8153759736231384E-4</v>
      </c>
      <c r="Q65" s="343">
        <f t="shared" si="14"/>
        <v>35.110007968722527</v>
      </c>
      <c r="R65" s="344">
        <f t="shared" si="15"/>
        <v>-88.962214292390755</v>
      </c>
      <c r="S65" s="346">
        <f t="shared" si="16"/>
        <v>91.037785707609245</v>
      </c>
      <c r="U65" s="319">
        <f t="shared" si="23"/>
        <v>1000000000</v>
      </c>
      <c r="V65" s="319">
        <f t="shared" si="24"/>
        <v>14455.252900000001</v>
      </c>
      <c r="X65" s="345">
        <f t="shared" si="17"/>
        <v>35.394080995880024</v>
      </c>
      <c r="Y65" s="346">
        <f t="shared" si="18"/>
        <v>-88.822276520933755</v>
      </c>
      <c r="AA65" s="345">
        <f t="shared" si="19"/>
        <v>32.939555841774883</v>
      </c>
      <c r="AB65" s="346">
        <f t="shared" si="20"/>
        <v>-0.13993777145698408</v>
      </c>
      <c r="AD65">
        <f t="shared" si="25"/>
        <v>0</v>
      </c>
      <c r="AE65">
        <f t="shared" si="26"/>
        <v>0</v>
      </c>
    </row>
    <row r="66" spans="1:31" x14ac:dyDescent="0.2">
      <c r="A66" s="347">
        <v>131.83000000000001</v>
      </c>
      <c r="B66" s="364">
        <f t="shared" si="22"/>
        <v>0.13183</v>
      </c>
      <c r="C66" s="337">
        <f t="shared" si="0"/>
        <v>1.000003091975854</v>
      </c>
      <c r="D66" s="338">
        <f t="shared" si="1"/>
        <v>2.4867520532515634E-3</v>
      </c>
      <c r="E66" s="338">
        <f t="shared" si="2"/>
        <v>1.000000000030312</v>
      </c>
      <c r="F66" s="339">
        <f t="shared" si="3"/>
        <v>7.7861357899732595E-6</v>
      </c>
      <c r="G66" s="338">
        <f t="shared" si="4"/>
        <v>1</v>
      </c>
      <c r="H66" s="339">
        <f t="shared" si="5"/>
        <v>0</v>
      </c>
      <c r="I66" s="337">
        <f t="shared" si="6"/>
        <v>1431.3458626829029</v>
      </c>
      <c r="J66" s="340">
        <f t="shared" si="7"/>
        <v>1.5700976835756568</v>
      </c>
      <c r="K66" s="348">
        <f t="shared" si="8"/>
        <v>1.0002381955739998</v>
      </c>
      <c r="L66" s="349">
        <f t="shared" si="9"/>
        <v>2.1824220612219163E-2</v>
      </c>
      <c r="M66" s="337">
        <f t="shared" si="10"/>
        <v>1.000000007989942</v>
      </c>
      <c r="N66" s="340">
        <f t="shared" si="11"/>
        <v>1.2641156589634624E-4</v>
      </c>
      <c r="O66" s="341">
        <f t="shared" si="12"/>
        <v>1.0000000040475805</v>
      </c>
      <c r="P66" s="342">
        <f t="shared" si="13"/>
        <v>1.9905266132051543E-4</v>
      </c>
      <c r="Q66" s="343">
        <f t="shared" si="14"/>
        <v>34.310323733666124</v>
      </c>
      <c r="R66" s="344">
        <f t="shared" si="15"/>
        <v>-88.870217072687922</v>
      </c>
      <c r="S66" s="346">
        <f t="shared" si="16"/>
        <v>91.129782927312078</v>
      </c>
      <c r="U66" s="319">
        <f t="shared" si="23"/>
        <v>1000000000</v>
      </c>
      <c r="V66" s="319">
        <f t="shared" si="24"/>
        <v>17379.148900000004</v>
      </c>
      <c r="X66" s="345">
        <f t="shared" si="17"/>
        <v>34.594401285066631</v>
      </c>
      <c r="Y66" s="346">
        <f t="shared" si="18"/>
        <v>-88.716777910490748</v>
      </c>
      <c r="AA66" s="345">
        <f t="shared" si="19"/>
        <v>32.939551317531873</v>
      </c>
      <c r="AB66" s="346">
        <f t="shared" si="20"/>
        <v>-0.15343916219716741</v>
      </c>
      <c r="AD66">
        <f t="shared" si="25"/>
        <v>0</v>
      </c>
      <c r="AE66">
        <f t="shared" si="26"/>
        <v>0</v>
      </c>
    </row>
    <row r="67" spans="1:31" x14ac:dyDescent="0.2">
      <c r="A67" s="347">
        <v>144.54</v>
      </c>
      <c r="B67" s="364">
        <f t="shared" si="22"/>
        <v>0.14454</v>
      </c>
      <c r="C67" s="337">
        <f t="shared" si="0"/>
        <v>1.0000037169229175</v>
      </c>
      <c r="D67" s="338">
        <f t="shared" si="1"/>
        <v>2.7265037701997155E-3</v>
      </c>
      <c r="E67" s="338">
        <f t="shared" si="2"/>
        <v>1.0000000000364386</v>
      </c>
      <c r="F67" s="339">
        <f t="shared" si="3"/>
        <v>8.5368130704554212E-6</v>
      </c>
      <c r="G67" s="338">
        <f t="shared" si="4"/>
        <v>1</v>
      </c>
      <c r="H67" s="339">
        <f t="shared" si="5"/>
        <v>0</v>
      </c>
      <c r="I67" s="337">
        <f t="shared" si="6"/>
        <v>1569.3447811791607</v>
      </c>
      <c r="J67" s="340">
        <f t="shared" si="7"/>
        <v>1.5701591181459973</v>
      </c>
      <c r="K67" s="348">
        <f t="shared" si="8"/>
        <v>1.0002863326235736</v>
      </c>
      <c r="L67" s="349">
        <f t="shared" si="9"/>
        <v>2.3927570636694054E-2</v>
      </c>
      <c r="M67" s="337">
        <f t="shared" si="10"/>
        <v>1.000000009604864</v>
      </c>
      <c r="N67" s="340">
        <f t="shared" si="11"/>
        <v>1.3859916343007272E-4</v>
      </c>
      <c r="O67" s="341">
        <f t="shared" si="12"/>
        <v>1.000000004865675</v>
      </c>
      <c r="P67" s="342">
        <f t="shared" si="13"/>
        <v>2.1824373573641346E-4</v>
      </c>
      <c r="Q67" s="343">
        <f t="shared" si="14"/>
        <v>33.511260678192777</v>
      </c>
      <c r="R67" s="344">
        <f t="shared" si="15"/>
        <v>-88.768715551269125</v>
      </c>
      <c r="S67" s="346">
        <f t="shared" si="16"/>
        <v>91.231284448730875</v>
      </c>
      <c r="U67" s="319">
        <f t="shared" si="23"/>
        <v>1000000000</v>
      </c>
      <c r="V67" s="319">
        <f t="shared" si="24"/>
        <v>20891.811599999997</v>
      </c>
      <c r="X67" s="345">
        <f t="shared" si="17"/>
        <v>33.795343664848694</v>
      </c>
      <c r="Y67" s="346">
        <f t="shared" si="18"/>
        <v>-88.600483070614501</v>
      </c>
      <c r="AA67" s="345">
        <f t="shared" si="19"/>
        <v>32.939545882276462</v>
      </c>
      <c r="AB67" s="346">
        <f t="shared" si="20"/>
        <v>-0.16823248065461993</v>
      </c>
      <c r="AD67">
        <f t="shared" si="25"/>
        <v>0</v>
      </c>
      <c r="AE67">
        <f t="shared" si="26"/>
        <v>0</v>
      </c>
    </row>
    <row r="68" spans="1:31" x14ac:dyDescent="0.2">
      <c r="A68" s="347">
        <v>158.49</v>
      </c>
      <c r="B68" s="364">
        <f t="shared" si="22"/>
        <v>0.15849000000000002</v>
      </c>
      <c r="C68" s="337">
        <f t="shared" si="0"/>
        <v>1.000004469006861</v>
      </c>
      <c r="D68" s="338">
        <f t="shared" si="1"/>
        <v>2.9896455367200694E-3</v>
      </c>
      <c r="E68" s="338">
        <f t="shared" si="2"/>
        <v>1.0000000000438116</v>
      </c>
      <c r="F68" s="339">
        <f t="shared" si="3"/>
        <v>9.3607271587783967E-6</v>
      </c>
      <c r="G68" s="338">
        <f t="shared" si="4"/>
        <v>1</v>
      </c>
      <c r="H68" s="339">
        <f t="shared" si="5"/>
        <v>0</v>
      </c>
      <c r="I68" s="337">
        <f t="shared" si="6"/>
        <v>1720.8070144681362</v>
      </c>
      <c r="J68" s="340">
        <f t="shared" si="7"/>
        <v>1.5702152040728969</v>
      </c>
      <c r="K68" s="348">
        <f t="shared" si="8"/>
        <v>1.0003442594621996</v>
      </c>
      <c r="L68" s="349">
        <f t="shared" si="9"/>
        <v>2.6235881119429209E-2</v>
      </c>
      <c r="M68" s="337">
        <f t="shared" si="10"/>
        <v>1.0000000115483212</v>
      </c>
      <c r="N68" s="340">
        <f t="shared" si="11"/>
        <v>1.519757948219973E-4</v>
      </c>
      <c r="O68" s="341">
        <f t="shared" si="12"/>
        <v>1.0000000058502003</v>
      </c>
      <c r="P68" s="342">
        <f t="shared" si="13"/>
        <v>2.3930711013124163E-4</v>
      </c>
      <c r="Q68" s="343">
        <f t="shared" si="14"/>
        <v>32.711481104137398</v>
      </c>
      <c r="R68" s="344">
        <f t="shared" si="15"/>
        <v>-88.656675562389282</v>
      </c>
      <c r="S68" s="346">
        <f t="shared" si="16"/>
        <v>91.343324437610718</v>
      </c>
      <c r="U68" s="319">
        <f t="shared" si="23"/>
        <v>1000000000</v>
      </c>
      <c r="V68" s="319">
        <f t="shared" si="24"/>
        <v>25119.080100000003</v>
      </c>
      <c r="X68" s="345">
        <f t="shared" si="17"/>
        <v>32.995570631772154</v>
      </c>
      <c r="Y68" s="346">
        <f t="shared" si="18"/>
        <v>-88.472206533425691</v>
      </c>
      <c r="AA68" s="345">
        <f t="shared" si="19"/>
        <v>32.939539341297632</v>
      </c>
      <c r="AB68" s="346">
        <f t="shared" si="20"/>
        <v>-0.18446902896359138</v>
      </c>
      <c r="AD68">
        <f t="shared" si="25"/>
        <v>0</v>
      </c>
      <c r="AE68">
        <f t="shared" si="26"/>
        <v>0</v>
      </c>
    </row>
    <row r="69" spans="1:31" x14ac:dyDescent="0.2">
      <c r="A69" s="347">
        <v>173.78</v>
      </c>
      <c r="B69" s="364">
        <f t="shared" si="22"/>
        <v>0.17377999999999999</v>
      </c>
      <c r="C69" s="337">
        <f t="shared" si="0"/>
        <v>1.0000053728742981</v>
      </c>
      <c r="D69" s="338">
        <f t="shared" si="1"/>
        <v>3.2780635264593968E-3</v>
      </c>
      <c r="E69" s="338">
        <f t="shared" si="2"/>
        <v>1.0000000000526725</v>
      </c>
      <c r="F69" s="339">
        <f t="shared" si="3"/>
        <v>1.0263784249119188E-5</v>
      </c>
      <c r="G69" s="338">
        <f t="shared" si="4"/>
        <v>1</v>
      </c>
      <c r="H69" s="339">
        <f t="shared" si="5"/>
        <v>0</v>
      </c>
      <c r="I69" s="337">
        <f t="shared" si="6"/>
        <v>1886.8183133307796</v>
      </c>
      <c r="J69" s="340">
        <f t="shared" si="7"/>
        <v>1.5702663340341998</v>
      </c>
      <c r="K69" s="348">
        <f t="shared" si="8"/>
        <v>1.0004138725544056</v>
      </c>
      <c r="L69" s="349">
        <f t="shared" si="9"/>
        <v>2.8765599688647791E-2</v>
      </c>
      <c r="M69" s="337">
        <f t="shared" si="10"/>
        <v>1.0000000138840033</v>
      </c>
      <c r="N69" s="340">
        <f t="shared" si="11"/>
        <v>1.6663734988354195E-4</v>
      </c>
      <c r="O69" s="341">
        <f t="shared" si="12"/>
        <v>1.0000000070334207</v>
      </c>
      <c r="P69" s="342">
        <f t="shared" si="13"/>
        <v>2.6239377645076261E-4</v>
      </c>
      <c r="Q69" s="343">
        <f t="shared" si="14"/>
        <v>31.91211934243881</v>
      </c>
      <c r="R69" s="344">
        <f t="shared" si="15"/>
        <v>-88.533299101822564</v>
      </c>
      <c r="S69" s="346">
        <f t="shared" si="16"/>
        <v>91.466700898177436</v>
      </c>
      <c r="U69" s="319">
        <f t="shared" si="23"/>
        <v>1000000000</v>
      </c>
      <c r="V69" s="319">
        <f t="shared" si="24"/>
        <v>30199.488400000002</v>
      </c>
      <c r="X69" s="345">
        <f t="shared" si="17"/>
        <v>32.196216731128089</v>
      </c>
      <c r="Y69" s="346">
        <f t="shared" si="18"/>
        <v>-88.331033912107728</v>
      </c>
      <c r="AA69" s="345">
        <f t="shared" si="19"/>
        <v>32.939531480243105</v>
      </c>
      <c r="AB69" s="346">
        <f t="shared" si="20"/>
        <v>-0.2022651897148369</v>
      </c>
      <c r="AD69">
        <f t="shared" si="25"/>
        <v>0</v>
      </c>
      <c r="AE69">
        <f t="shared" si="26"/>
        <v>0</v>
      </c>
    </row>
    <row r="70" spans="1:31" x14ac:dyDescent="0.2">
      <c r="A70" s="347">
        <v>190.55</v>
      </c>
      <c r="B70" s="364">
        <f t="shared" si="22"/>
        <v>0.19055000000000002</v>
      </c>
      <c r="C70" s="337">
        <f t="shared" si="0"/>
        <v>1.0000064598846701</v>
      </c>
      <c r="D70" s="338">
        <f t="shared" si="1"/>
        <v>3.5943983905655425E-3</v>
      </c>
      <c r="E70" s="338">
        <f t="shared" si="2"/>
        <v>1.0000000000633291</v>
      </c>
      <c r="F70" s="339">
        <f t="shared" si="3"/>
        <v>1.1254253013325854E-5</v>
      </c>
      <c r="G70" s="338">
        <f t="shared" si="4"/>
        <v>1</v>
      </c>
      <c r="H70" s="339">
        <f t="shared" si="5"/>
        <v>0</v>
      </c>
      <c r="I70" s="337">
        <f t="shared" si="6"/>
        <v>2068.8987289003921</v>
      </c>
      <c r="J70" s="340">
        <f t="shared" si="7"/>
        <v>1.5703129778397407</v>
      </c>
      <c r="K70" s="348">
        <f t="shared" si="8"/>
        <v>1.0004975844207997</v>
      </c>
      <c r="L70" s="349">
        <f t="shared" si="9"/>
        <v>3.1539758501150282E-2</v>
      </c>
      <c r="M70" s="337">
        <f t="shared" si="10"/>
        <v>1.0000000166929475</v>
      </c>
      <c r="N70" s="340">
        <f t="shared" si="11"/>
        <v>1.827180743517539E-4</v>
      </c>
      <c r="O70" s="341">
        <f t="shared" si="12"/>
        <v>1.0000000084563885</v>
      </c>
      <c r="P70" s="342">
        <f t="shared" si="13"/>
        <v>2.8771512341824613E-4</v>
      </c>
      <c r="Q70" s="343">
        <f t="shared" si="14"/>
        <v>31.112653645843636</v>
      </c>
      <c r="R70" s="344">
        <f t="shared" si="15"/>
        <v>-88.397464070112406</v>
      </c>
      <c r="S70" s="346">
        <f t="shared" si="16"/>
        <v>91.602535929887594</v>
      </c>
      <c r="U70" s="319">
        <f t="shared" si="23"/>
        <v>1000000000</v>
      </c>
      <c r="V70" s="319">
        <f t="shared" si="24"/>
        <v>36309.302500000005</v>
      </c>
      <c r="X70" s="345">
        <f t="shared" si="17"/>
        <v>31.39676048839636</v>
      </c>
      <c r="Y70" s="346">
        <f t="shared" si="18"/>
        <v>-88.175680171116241</v>
      </c>
      <c r="AA70" s="345">
        <f t="shared" si="19"/>
        <v>32.939522026379656</v>
      </c>
      <c r="AB70" s="346">
        <f t="shared" si="20"/>
        <v>-0.22178389899616144</v>
      </c>
      <c r="AD70">
        <f t="shared" si="25"/>
        <v>0</v>
      </c>
      <c r="AE70">
        <f t="shared" si="26"/>
        <v>0</v>
      </c>
    </row>
    <row r="71" spans="1:31" x14ac:dyDescent="0.2">
      <c r="A71" s="347">
        <v>208.93</v>
      </c>
      <c r="B71" s="364">
        <f t="shared" si="22"/>
        <v>0.20893</v>
      </c>
      <c r="C71" s="337">
        <f t="shared" si="0"/>
        <v>1.0000077661930717</v>
      </c>
      <c r="D71" s="338">
        <f t="shared" si="1"/>
        <v>3.9411020820726362E-3</v>
      </c>
      <c r="E71" s="338">
        <f t="shared" si="2"/>
        <v>1.0000000000761355</v>
      </c>
      <c r="F71" s="339">
        <f t="shared" si="3"/>
        <v>1.233981150382627E-5</v>
      </c>
      <c r="G71" s="338">
        <f t="shared" si="4"/>
        <v>1</v>
      </c>
      <c r="H71" s="339">
        <f t="shared" si="5"/>
        <v>0</v>
      </c>
      <c r="I71" s="337">
        <f t="shared" si="6"/>
        <v>2268.4597372656795</v>
      </c>
      <c r="J71" s="340">
        <f t="shared" si="7"/>
        <v>1.5703554990314761</v>
      </c>
      <c r="K71" s="348">
        <f t="shared" si="8"/>
        <v>1.0005981755250923</v>
      </c>
      <c r="L71" s="349">
        <f t="shared" si="9"/>
        <v>3.4579690539886895E-2</v>
      </c>
      <c r="M71" s="337">
        <f t="shared" si="10"/>
        <v>1.0000000200685841</v>
      </c>
      <c r="N71" s="340">
        <f t="shared" si="11"/>
        <v>2.0034262497193044E-4</v>
      </c>
      <c r="O71" s="341">
        <f t="shared" si="12"/>
        <v>1.0000000101664337</v>
      </c>
      <c r="P71" s="342">
        <f t="shared" si="13"/>
        <v>3.1546744057040085E-4</v>
      </c>
      <c r="Q71" s="343">
        <f t="shared" si="14"/>
        <v>30.313678647743441</v>
      </c>
      <c r="R71" s="344">
        <f t="shared" si="15"/>
        <v>-88.248127442297772</v>
      </c>
      <c r="S71" s="346">
        <f t="shared" si="16"/>
        <v>91.751872557702228</v>
      </c>
      <c r="U71" s="319">
        <f t="shared" si="23"/>
        <v>1000000000</v>
      </c>
      <c r="V71" s="319">
        <f t="shared" si="24"/>
        <v>43651.744900000005</v>
      </c>
      <c r="X71" s="345">
        <f t="shared" si="17"/>
        <v>30.597796851408098</v>
      </c>
      <c r="Y71" s="346">
        <f t="shared" si="18"/>
        <v>-88.004950992287604</v>
      </c>
      <c r="AA71" s="345">
        <f t="shared" si="19"/>
        <v>32.939510665267726</v>
      </c>
      <c r="AB71" s="346">
        <f t="shared" si="20"/>
        <v>-0.2431764500101749</v>
      </c>
      <c r="AD71">
        <f t="shared" si="25"/>
        <v>0</v>
      </c>
      <c r="AE71">
        <f t="shared" si="26"/>
        <v>0</v>
      </c>
    </row>
    <row r="72" spans="1:31" x14ac:dyDescent="0.2">
      <c r="A72" s="347">
        <v>229.09</v>
      </c>
      <c r="B72" s="364">
        <f t="shared" si="22"/>
        <v>0.22909000000000002</v>
      </c>
      <c r="C72" s="337">
        <f t="shared" si="0"/>
        <v>1.0000093372394856</v>
      </c>
      <c r="D72" s="338">
        <f t="shared" si="1"/>
        <v>4.3213809905601136E-3</v>
      </c>
      <c r="E72" s="338">
        <f t="shared" si="2"/>
        <v>1.0000000000915372</v>
      </c>
      <c r="F72" s="339">
        <f t="shared" si="3"/>
        <v>1.3530500250718105E-5</v>
      </c>
      <c r="G72" s="338">
        <f t="shared" si="4"/>
        <v>1</v>
      </c>
      <c r="H72" s="339">
        <f t="shared" si="5"/>
        <v>0</v>
      </c>
      <c r="I72" s="337">
        <f t="shared" si="6"/>
        <v>2487.3471148908261</v>
      </c>
      <c r="J72" s="340">
        <f t="shared" si="7"/>
        <v>1.5703942920242158</v>
      </c>
      <c r="K72" s="348">
        <f t="shared" si="8"/>
        <v>1.0007191393233543</v>
      </c>
      <c r="L72" s="349">
        <f t="shared" si="9"/>
        <v>3.7913285794125499E-2</v>
      </c>
      <c r="M72" s="337">
        <f t="shared" si="10"/>
        <v>1.0000000241283369</v>
      </c>
      <c r="N72" s="340">
        <f t="shared" si="11"/>
        <v>2.1967401440961377E-4</v>
      </c>
      <c r="O72" s="341">
        <f t="shared" si="12"/>
        <v>1.0000000122230419</v>
      </c>
      <c r="P72" s="342">
        <f t="shared" si="13"/>
        <v>3.4590741422550796E-4</v>
      </c>
      <c r="Q72" s="343">
        <f t="shared" si="14"/>
        <v>29.514608518268375</v>
      </c>
      <c r="R72" s="344">
        <f t="shared" si="15"/>
        <v>-88.083921022296195</v>
      </c>
      <c r="S72" s="346">
        <f t="shared" si="16"/>
        <v>91.916078977703805</v>
      </c>
      <c r="U72" s="319">
        <f t="shared" si="23"/>
        <v>1000000000</v>
      </c>
      <c r="V72" s="319">
        <f t="shared" si="24"/>
        <v>52482.2281</v>
      </c>
      <c r="X72" s="345">
        <f t="shared" si="17"/>
        <v>29.7987403854818</v>
      </c>
      <c r="Y72" s="346">
        <f t="shared" si="18"/>
        <v>-87.817280335186013</v>
      </c>
      <c r="AA72" s="345">
        <f t="shared" si="19"/>
        <v>32.939497001718955</v>
      </c>
      <c r="AB72" s="346">
        <f t="shared" si="20"/>
        <v>-0.26664068711017724</v>
      </c>
      <c r="AD72">
        <f t="shared" si="25"/>
        <v>0</v>
      </c>
      <c r="AE72">
        <f t="shared" si="26"/>
        <v>0</v>
      </c>
    </row>
    <row r="73" spans="1:31" x14ac:dyDescent="0.2">
      <c r="A73" s="347">
        <v>251.19</v>
      </c>
      <c r="B73" s="364">
        <f t="shared" si="22"/>
        <v>0.25119000000000002</v>
      </c>
      <c r="C73" s="337">
        <f t="shared" si="0"/>
        <v>1.0000112256246136</v>
      </c>
      <c r="D73" s="338">
        <f t="shared" si="1"/>
        <v>4.7382527586716282E-3</v>
      </c>
      <c r="E73" s="338">
        <f t="shared" si="2"/>
        <v>1.00000000011005</v>
      </c>
      <c r="F73" s="339">
        <f t="shared" si="3"/>
        <v>1.483576916467735E-5</v>
      </c>
      <c r="G73" s="338">
        <f t="shared" si="4"/>
        <v>1</v>
      </c>
      <c r="H73" s="339">
        <f t="shared" si="5"/>
        <v>0</v>
      </c>
      <c r="I73" s="337">
        <f t="shared" si="6"/>
        <v>2727.2980631861433</v>
      </c>
      <c r="J73" s="340">
        <f t="shared" si="7"/>
        <v>1.5704296635262553</v>
      </c>
      <c r="K73" s="348">
        <f t="shared" si="8"/>
        <v>1.0008645177380389</v>
      </c>
      <c r="L73" s="349">
        <f t="shared" si="9"/>
        <v>4.1566702332502238E-2</v>
      </c>
      <c r="M73" s="337">
        <f t="shared" si="10"/>
        <v>1.0000000290081354</v>
      </c>
      <c r="N73" s="340">
        <f t="shared" si="11"/>
        <v>2.4086566633218227E-4</v>
      </c>
      <c r="O73" s="341">
        <f t="shared" si="12"/>
        <v>1.0000000146950725</v>
      </c>
      <c r="P73" s="342">
        <f t="shared" si="13"/>
        <v>3.7927663152013421E-4</v>
      </c>
      <c r="Q73" s="343">
        <f t="shared" si="14"/>
        <v>28.715929638328145</v>
      </c>
      <c r="R73" s="344">
        <f t="shared" si="15"/>
        <v>-87.903558625463489</v>
      </c>
      <c r="S73" s="346">
        <f t="shared" si="16"/>
        <v>92.096441374536511</v>
      </c>
      <c r="U73" s="319">
        <f t="shared" si="23"/>
        <v>1000000000</v>
      </c>
      <c r="V73" s="319">
        <f t="shared" si="24"/>
        <v>63096.416100000002</v>
      </c>
      <c r="X73" s="345">
        <f t="shared" si="17"/>
        <v>29.00007792898873</v>
      </c>
      <c r="Y73" s="346">
        <f t="shared" si="18"/>
        <v>-87.611195816496235</v>
      </c>
      <c r="AA73" s="345">
        <f t="shared" si="19"/>
        <v>32.939480578271791</v>
      </c>
      <c r="AB73" s="346">
        <f t="shared" si="20"/>
        <v>-0.2923628089672527</v>
      </c>
      <c r="AD73">
        <f t="shared" si="25"/>
        <v>0</v>
      </c>
      <c r="AE73">
        <f t="shared" si="26"/>
        <v>0</v>
      </c>
    </row>
    <row r="74" spans="1:31" x14ac:dyDescent="0.2">
      <c r="A74" s="347">
        <v>275.42</v>
      </c>
      <c r="B74" s="364">
        <f t="shared" si="22"/>
        <v>0.27542</v>
      </c>
      <c r="C74" s="337">
        <f t="shared" si="0"/>
        <v>1.0000134957268099</v>
      </c>
      <c r="D74" s="338">
        <f t="shared" si="1"/>
        <v>5.1953007675836433E-3</v>
      </c>
      <c r="E74" s="338">
        <f t="shared" si="2"/>
        <v>1.0000000001323051</v>
      </c>
      <c r="F74" s="339">
        <f t="shared" si="3"/>
        <v>1.6266840014629612E-5</v>
      </c>
      <c r="G74" s="338">
        <f t="shared" si="4"/>
        <v>1</v>
      </c>
      <c r="H74" s="339">
        <f t="shared" si="5"/>
        <v>0</v>
      </c>
      <c r="I74" s="337">
        <f t="shared" si="6"/>
        <v>2990.3755088549365</v>
      </c>
      <c r="J74" s="340">
        <f t="shared" si="7"/>
        <v>1.5704619206256123</v>
      </c>
      <c r="K74" s="348">
        <f t="shared" si="8"/>
        <v>1.0010392552780165</v>
      </c>
      <c r="L74" s="349">
        <f t="shared" si="9"/>
        <v>4.5570956376561479E-2</v>
      </c>
      <c r="M74" s="337">
        <f t="shared" si="10"/>
        <v>1.0000000348743456</v>
      </c>
      <c r="N74" s="340">
        <f t="shared" si="11"/>
        <v>2.6409977133552199E-4</v>
      </c>
      <c r="O74" s="341">
        <f t="shared" si="12"/>
        <v>1.0000000176668042</v>
      </c>
      <c r="P74" s="342">
        <f t="shared" si="13"/>
        <v>4.1586197718584814E-4</v>
      </c>
      <c r="Q74" s="343">
        <f t="shared" si="14"/>
        <v>27.91756368947793</v>
      </c>
      <c r="R74" s="344">
        <f t="shared" si="15"/>
        <v>-87.70551229374864</v>
      </c>
      <c r="S74" s="346">
        <f t="shared" si="16"/>
        <v>92.29448770625136</v>
      </c>
      <c r="U74" s="319">
        <f t="shared" si="23"/>
        <v>1000000000</v>
      </c>
      <c r="V74" s="319">
        <f t="shared" si="24"/>
        <v>75856.176400000011</v>
      </c>
      <c r="X74" s="345">
        <f t="shared" si="17"/>
        <v>28.201731723370767</v>
      </c>
      <c r="Y74" s="346">
        <f t="shared" si="18"/>
        <v>-87.384948371224866</v>
      </c>
      <c r="AA74" s="345">
        <f t="shared" si="19"/>
        <v>32.939460835039547</v>
      </c>
      <c r="AB74" s="346">
        <f t="shared" si="20"/>
        <v>-0.32056392252377941</v>
      </c>
      <c r="AD74">
        <f t="shared" si="25"/>
        <v>0</v>
      </c>
      <c r="AE74">
        <f t="shared" si="26"/>
        <v>0</v>
      </c>
    </row>
    <row r="75" spans="1:31" x14ac:dyDescent="0.2">
      <c r="A75" s="347">
        <v>302</v>
      </c>
      <c r="B75" s="364">
        <f t="shared" si="22"/>
        <v>0.30199999999999999</v>
      </c>
      <c r="C75" s="337">
        <f t="shared" si="0"/>
        <v>1.0000162262672065</v>
      </c>
      <c r="D75" s="338">
        <f t="shared" si="1"/>
        <v>5.6966740822511934E-3</v>
      </c>
      <c r="E75" s="338">
        <f t="shared" si="2"/>
        <v>1.0000000001590741</v>
      </c>
      <c r="F75" s="339">
        <f t="shared" si="3"/>
        <v>1.7836706427748431E-5</v>
      </c>
      <c r="G75" s="338">
        <f t="shared" si="4"/>
        <v>1</v>
      </c>
      <c r="H75" s="339">
        <f t="shared" si="5"/>
        <v>0</v>
      </c>
      <c r="I75" s="337">
        <f t="shared" si="6"/>
        <v>3278.9681039025072</v>
      </c>
      <c r="J75" s="340">
        <f t="shared" si="7"/>
        <v>1.5704913527958171</v>
      </c>
      <c r="K75" s="348">
        <f t="shared" si="8"/>
        <v>1.0012493944481635</v>
      </c>
      <c r="L75" s="349">
        <f t="shared" si="9"/>
        <v>4.9961885702113004E-2</v>
      </c>
      <c r="M75" s="337">
        <f t="shared" si="10"/>
        <v>1.0000000419303998</v>
      </c>
      <c r="N75" s="340">
        <f t="shared" si="11"/>
        <v>2.8958728693683291E-4</v>
      </c>
      <c r="O75" s="341">
        <f t="shared" si="12"/>
        <v>1.0000000212412927</v>
      </c>
      <c r="P75" s="342">
        <f t="shared" si="13"/>
        <v>4.5599563355465579E-4</v>
      </c>
      <c r="Q75" s="343">
        <f t="shared" si="14"/>
        <v>27.119133741575482</v>
      </c>
      <c r="R75" s="344">
        <f t="shared" si="15"/>
        <v>-87.488013358512092</v>
      </c>
      <c r="S75" s="346">
        <f t="shared" si="16"/>
        <v>92.511986641487908</v>
      </c>
      <c r="U75" s="319">
        <f t="shared" si="23"/>
        <v>1000000000</v>
      </c>
      <c r="V75" s="319">
        <f t="shared" si="24"/>
        <v>91204</v>
      </c>
      <c r="X75" s="345">
        <f t="shared" si="17"/>
        <v>27.403325523103497</v>
      </c>
      <c r="Y75" s="346">
        <f t="shared" si="18"/>
        <v>-87.136513318655545</v>
      </c>
      <c r="AA75" s="345">
        <f t="shared" si="19"/>
        <v>32.939437087404364</v>
      </c>
      <c r="AB75" s="346">
        <f t="shared" si="20"/>
        <v>-0.35150003985655431</v>
      </c>
      <c r="AD75">
        <f t="shared" si="25"/>
        <v>0</v>
      </c>
      <c r="AE75">
        <f t="shared" si="26"/>
        <v>0</v>
      </c>
    </row>
    <row r="76" spans="1:31" x14ac:dyDescent="0.2">
      <c r="A76" s="347">
        <v>331.13</v>
      </c>
      <c r="B76" s="364">
        <f t="shared" si="22"/>
        <v>0.33112999999999998</v>
      </c>
      <c r="C76" s="337">
        <f t="shared" si="0"/>
        <v>1.00001950747609</v>
      </c>
      <c r="D76" s="338">
        <f t="shared" si="1"/>
        <v>6.2461442470134144E-3</v>
      </c>
      <c r="E76" s="338">
        <f t="shared" si="2"/>
        <v>1.0000000001912417</v>
      </c>
      <c r="F76" s="339">
        <f t="shared" si="3"/>
        <v>1.9557180792363169E-5</v>
      </c>
      <c r="G76" s="338">
        <f t="shared" si="4"/>
        <v>1</v>
      </c>
      <c r="H76" s="339">
        <f t="shared" si="5"/>
        <v>0</v>
      </c>
      <c r="I76" s="337">
        <f t="shared" si="6"/>
        <v>3595.2473501725472</v>
      </c>
      <c r="J76" s="340">
        <f t="shared" si="7"/>
        <v>1.5705181818119525</v>
      </c>
      <c r="K76" s="348">
        <f t="shared" si="8"/>
        <v>1.0015018548476791</v>
      </c>
      <c r="L76" s="349">
        <f t="shared" si="9"/>
        <v>5.4771847028594459E-2</v>
      </c>
      <c r="M76" s="337">
        <f t="shared" si="10"/>
        <v>1.000000050409475</v>
      </c>
      <c r="N76" s="340">
        <f t="shared" si="11"/>
        <v>3.1751999265347227E-4</v>
      </c>
      <c r="O76" s="341">
        <f t="shared" si="12"/>
        <v>1.0000000255366621</v>
      </c>
      <c r="P76" s="342">
        <f t="shared" si="13"/>
        <v>4.9997958459779086E-4</v>
      </c>
      <c r="Q76" s="343">
        <f t="shared" si="14"/>
        <v>26.321463306692312</v>
      </c>
      <c r="R76" s="344">
        <f t="shared" si="15"/>
        <v>-87.249464330402418</v>
      </c>
      <c r="S76" s="346">
        <f t="shared" si="16"/>
        <v>92.750535669597582</v>
      </c>
      <c r="U76" s="319">
        <f t="shared" si="23"/>
        <v>1000000000</v>
      </c>
      <c r="V76" s="319">
        <f t="shared" si="24"/>
        <v>109647.0769</v>
      </c>
      <c r="X76" s="345">
        <f t="shared" si="17"/>
        <v>26.605683624959067</v>
      </c>
      <c r="Y76" s="346">
        <f t="shared" si="18"/>
        <v>-86.864060450256659</v>
      </c>
      <c r="AA76" s="345">
        <f t="shared" si="19"/>
        <v>32.939408550665618</v>
      </c>
      <c r="AB76" s="346">
        <f t="shared" si="20"/>
        <v>-0.38540388014575711</v>
      </c>
      <c r="AD76">
        <f t="shared" si="25"/>
        <v>0</v>
      </c>
      <c r="AE76">
        <f t="shared" si="26"/>
        <v>0</v>
      </c>
    </row>
    <row r="77" spans="1:31" x14ac:dyDescent="0.2">
      <c r="A77" s="347">
        <v>363.08</v>
      </c>
      <c r="B77" s="364">
        <f t="shared" si="22"/>
        <v>0.36307999999999996</v>
      </c>
      <c r="C77" s="337">
        <f t="shared" ref="C77:C140" si="27">SQRT(1+(A77/pole1)^2)</f>
        <v>1.0000234535086105</v>
      </c>
      <c r="D77" s="338">
        <f t="shared" ref="D77:D140" si="28">ATAN(A77/pole1)</f>
        <v>6.8488028487323624E-3</v>
      </c>
      <c r="E77" s="338">
        <f t="shared" ref="E77:E140" si="29">SQRT(1+(A77/Zero1)^2)</f>
        <v>1.0000000002299272</v>
      </c>
      <c r="F77" s="339">
        <f t="shared" ref="F77:F140" si="30">ATAN(A77/Zero1)</f>
        <v>2.1444209832718529E-5</v>
      </c>
      <c r="G77" s="338">
        <f t="shared" ref="G77:G140" si="31">IF(VIN_nom&gt;Vout, 1, SQRT(1+(A77/z_RHP)^2))</f>
        <v>1</v>
      </c>
      <c r="H77" s="339">
        <f t="shared" ref="H77:H140" si="32">IF(VIN_nom&gt;Vout, 0, -ATAN(A77/z_RHP))</f>
        <v>0</v>
      </c>
      <c r="I77" s="337">
        <f t="shared" ref="I77:I140" si="33">SQRT(1+(A77/Pole2)^2)</f>
        <v>3942.1447751786905</v>
      </c>
      <c r="J77" s="340">
        <f t="shared" ref="J77:J140" si="34">ATAN(A77/Pole2)</f>
        <v>1.5705426577726371</v>
      </c>
      <c r="K77" s="348">
        <f t="shared" ref="K77:K140" si="35">SQRT(1+(A77/Zero2)^2)</f>
        <v>1.0018053844596968</v>
      </c>
      <c r="L77" s="349">
        <f t="shared" ref="L77:L140" si="36">ATAN(A77/Zero2)</f>
        <v>6.0044524481757157E-2</v>
      </c>
      <c r="M77" s="337">
        <f t="shared" ref="M77:M140" si="37">SQRT(1+(A77/pole4)^2)</f>
        <v>1.0000000606065786</v>
      </c>
      <c r="N77" s="340">
        <f t="shared" ref="N77:N140" si="38">ATAN(A77/pole4)</f>
        <v>3.4815679083413241E-4</v>
      </c>
      <c r="O77" s="341">
        <f t="shared" ref="O77:O140" si="39">SQRT((1-(V77/pterm2))^2+(A77/pterm1)^2)</f>
        <v>1.0000000307023587</v>
      </c>
      <c r="P77" s="342">
        <f t="shared" ref="P77:P140" si="40">IF((ATAN((A77/pterm1)/(1-A77^2/pterm2))&gt;0),ATAN((A77/pterm1)/(1-A77^2/pterm2)),PI()+ATAN((A77/pterm1)/(1-A77^2/pterm2)))</f>
        <v>5.4822150867622147E-4</v>
      </c>
      <c r="Q77" s="343">
        <f t="shared" ref="Q77:Q140" si="41">20*LOG10(((E77*K77*G77)/(C77*I77*O77*M77))*Adc)</f>
        <v>25.523985075247815</v>
      </c>
      <c r="R77" s="344">
        <f t="shared" ref="R77:R140" si="42">((F77+L77+H77)-(D77+J77+P77+N77))*radconv</f>
        <v>-86.987705627994828</v>
      </c>
      <c r="S77" s="346">
        <f t="shared" ref="S77:S140" si="43">IF(R77&gt;0,R77,R77+180)</f>
        <v>93.012294372005172</v>
      </c>
      <c r="U77" s="319">
        <f t="shared" si="23"/>
        <v>1000000000</v>
      </c>
      <c r="V77" s="319">
        <f t="shared" si="24"/>
        <v>131827.0864</v>
      </c>
      <c r="X77" s="345">
        <f t="shared" ref="X77:X140" si="44">20*LOG10((K77/(I77*M77))*AEA)</f>
        <v>25.808239712113981</v>
      </c>
      <c r="Y77" s="346">
        <f t="shared" ref="Y77:Y140" si="45">(L77-(J77+N77))*radconv</f>
        <v>-86.565116013595372</v>
      </c>
      <c r="AA77" s="345">
        <f t="shared" ref="AA77:AA140" si="46">20*LOG10((E77*G77/(C77*O77))*Acs*Am)</f>
        <v>32.939374232066214</v>
      </c>
      <c r="AB77" s="346">
        <f t="shared" ref="AB77:AB140" si="47">(F77+H77-(D77+P77))*radconv</f>
        <v>-0.42258961439945297</v>
      </c>
      <c r="AD77">
        <f t="shared" si="25"/>
        <v>0</v>
      </c>
      <c r="AE77">
        <f t="shared" ref="AE77:AE89" si="48">IF(AD77&gt;0,S75,0)</f>
        <v>0</v>
      </c>
    </row>
    <row r="78" spans="1:31" x14ac:dyDescent="0.2">
      <c r="A78" s="347">
        <v>398.11</v>
      </c>
      <c r="B78" s="364">
        <f t="shared" ref="B78:B141" si="49">A78/1000</f>
        <v>0.39811000000000002</v>
      </c>
      <c r="C78" s="337">
        <f t="shared" si="27"/>
        <v>1.0000281973510581</v>
      </c>
      <c r="D78" s="338">
        <f t="shared" si="28"/>
        <v>7.5095523832716844E-3</v>
      </c>
      <c r="E78" s="338">
        <f t="shared" si="29"/>
        <v>1.000000000276434</v>
      </c>
      <c r="F78" s="339">
        <f t="shared" si="30"/>
        <v>2.3513149653626978E-5</v>
      </c>
      <c r="G78" s="338">
        <f t="shared" si="31"/>
        <v>1</v>
      </c>
      <c r="H78" s="339">
        <f t="shared" si="32"/>
        <v>0</v>
      </c>
      <c r="I78" s="337">
        <f t="shared" si="33"/>
        <v>4322.4833313630797</v>
      </c>
      <c r="J78" s="340">
        <f t="shared" si="34"/>
        <v>1.5705649783009268</v>
      </c>
      <c r="K78" s="348">
        <f t="shared" si="35"/>
        <v>1.0021701616662519</v>
      </c>
      <c r="L78" s="349">
        <f t="shared" si="36"/>
        <v>6.5821641615497389E-2</v>
      </c>
      <c r="M78" s="337">
        <f t="shared" si="37"/>
        <v>1.0000000728653884</v>
      </c>
      <c r="N78" s="340">
        <f t="shared" si="38"/>
        <v>3.8174699478413595E-4</v>
      </c>
      <c r="O78" s="341">
        <f t="shared" si="39"/>
        <v>1.0000000369124846</v>
      </c>
      <c r="P78" s="342">
        <f t="shared" si="40"/>
        <v>6.011139850033609E-4</v>
      </c>
      <c r="Q78" s="343">
        <f t="shared" si="41"/>
        <v>24.727090690732133</v>
      </c>
      <c r="R78" s="344">
        <f t="shared" si="42"/>
        <v>-86.700674780923705</v>
      </c>
      <c r="S78" s="346">
        <f t="shared" si="43"/>
        <v>93.299325219076295</v>
      </c>
      <c r="U78" s="319">
        <f t="shared" ref="U78:U141" si="50">IF(Q78&lt;0,A78,1000000000)</f>
        <v>1000000000</v>
      </c>
      <c r="V78" s="319">
        <f t="shared" ref="V78:V141" si="51">A78^2</f>
        <v>158491.57210000002</v>
      </c>
      <c r="X78" s="345">
        <f t="shared" si="44"/>
        <v>25.011386584562679</v>
      </c>
      <c r="Y78" s="346">
        <f t="shared" si="45"/>
        <v>-86.237315032691598</v>
      </c>
      <c r="AA78" s="345">
        <f t="shared" si="46"/>
        <v>32.939332975101834</v>
      </c>
      <c r="AB78" s="346">
        <f t="shared" si="47"/>
        <v>-0.46335974823211246</v>
      </c>
      <c r="AD78">
        <f t="shared" ref="AD78:AD141" si="52">SUM((Q79&lt;0)*(Q78&gt;0))*A78</f>
        <v>0</v>
      </c>
      <c r="AE78">
        <f t="shared" si="48"/>
        <v>0</v>
      </c>
    </row>
    <row r="79" spans="1:31" x14ac:dyDescent="0.2">
      <c r="A79" s="347">
        <v>436.52</v>
      </c>
      <c r="B79" s="364">
        <f t="shared" si="49"/>
        <v>0.43651999999999996</v>
      </c>
      <c r="C79" s="337">
        <f t="shared" si="27"/>
        <v>1.0000339007411252</v>
      </c>
      <c r="D79" s="338">
        <f t="shared" si="28"/>
        <v>8.2340492391032444E-3</v>
      </c>
      <c r="E79" s="338">
        <f t="shared" si="29"/>
        <v>1.0000000003323484</v>
      </c>
      <c r="F79" s="339">
        <f t="shared" si="30"/>
        <v>2.5781718837554059E-5</v>
      </c>
      <c r="G79" s="338">
        <f t="shared" si="31"/>
        <v>1</v>
      </c>
      <c r="H79" s="339">
        <f t="shared" si="32"/>
        <v>0</v>
      </c>
      <c r="I79" s="337">
        <f t="shared" si="33"/>
        <v>4739.5202715617934</v>
      </c>
      <c r="J79" s="340">
        <f t="shared" si="34"/>
        <v>1.5705853349750241</v>
      </c>
      <c r="K79" s="348">
        <f t="shared" si="35"/>
        <v>1.0026085497650521</v>
      </c>
      <c r="L79" s="349">
        <f t="shared" si="36"/>
        <v>7.2151118015153046E-2</v>
      </c>
      <c r="M79" s="337">
        <f t="shared" si="37"/>
        <v>1.0000000876038919</v>
      </c>
      <c r="N79" s="340">
        <f t="shared" si="38"/>
        <v>4.1857827365758131E-4</v>
      </c>
      <c r="O79" s="341">
        <f t="shared" si="39"/>
        <v>1.0000000443787866</v>
      </c>
      <c r="P79" s="342">
        <f t="shared" si="40"/>
        <v>6.5910998962819684E-4</v>
      </c>
      <c r="Q79" s="343">
        <f t="shared" si="41"/>
        <v>23.930818516136661</v>
      </c>
      <c r="R79" s="344">
        <f t="shared" si="42"/>
        <v>-86.386002683643923</v>
      </c>
      <c r="S79" s="346">
        <f t="shared" si="43"/>
        <v>93.613997316356077</v>
      </c>
      <c r="U79" s="319">
        <f t="shared" si="50"/>
        <v>1000000000</v>
      </c>
      <c r="V79" s="319">
        <f t="shared" si="51"/>
        <v>190549.71039999998</v>
      </c>
      <c r="X79" s="345">
        <f t="shared" si="44"/>
        <v>24.215164011811613</v>
      </c>
      <c r="Y79" s="346">
        <f t="shared" si="45"/>
        <v>-85.877939376397237</v>
      </c>
      <c r="AA79" s="345">
        <f t="shared" si="46"/>
        <v>32.939283373257439</v>
      </c>
      <c r="AB79" s="346">
        <f t="shared" si="47"/>
        <v>-0.50806330724669202</v>
      </c>
      <c r="AD79">
        <f t="shared" si="52"/>
        <v>0</v>
      </c>
      <c r="AE79">
        <f t="shared" si="48"/>
        <v>0</v>
      </c>
    </row>
    <row r="80" spans="1:31" x14ac:dyDescent="0.2">
      <c r="A80" s="347">
        <v>478.63</v>
      </c>
      <c r="B80" s="364">
        <f t="shared" si="49"/>
        <v>0.47863</v>
      </c>
      <c r="C80" s="337">
        <f t="shared" si="27"/>
        <v>1.000040756721648</v>
      </c>
      <c r="D80" s="338">
        <f t="shared" si="28"/>
        <v>9.0283262499133675E-3</v>
      </c>
      <c r="E80" s="338">
        <f t="shared" si="29"/>
        <v>1.000000000399563</v>
      </c>
      <c r="F80" s="339">
        <f t="shared" si="30"/>
        <v>2.8268817205776486E-5</v>
      </c>
      <c r="G80" s="338">
        <f t="shared" si="31"/>
        <v>1</v>
      </c>
      <c r="H80" s="339">
        <f t="shared" si="32"/>
        <v>0</v>
      </c>
      <c r="I80" s="337">
        <f t="shared" si="33"/>
        <v>5196.7299988170125</v>
      </c>
      <c r="J80" s="340">
        <f t="shared" si="34"/>
        <v>1.5706038980933095</v>
      </c>
      <c r="K80" s="348">
        <f t="shared" si="35"/>
        <v>1.0031352808631735</v>
      </c>
      <c r="L80" s="349">
        <f t="shared" si="36"/>
        <v>7.9083640087243862E-2</v>
      </c>
      <c r="M80" s="337">
        <f t="shared" si="37"/>
        <v>1.000000105320991</v>
      </c>
      <c r="N80" s="340">
        <f t="shared" si="38"/>
        <v>4.5895747446711243E-4</v>
      </c>
      <c r="O80" s="341">
        <f t="shared" si="39"/>
        <v>1.0000000533540008</v>
      </c>
      <c r="P80" s="342">
        <f t="shared" si="40"/>
        <v>7.2269269706725747E-4</v>
      </c>
      <c r="Q80" s="343">
        <f t="shared" si="41"/>
        <v>23.135405401905224</v>
      </c>
      <c r="R80" s="344">
        <f t="shared" si="42"/>
        <v>-86.041184814286893</v>
      </c>
      <c r="S80" s="346">
        <f t="shared" si="43"/>
        <v>93.958815185713107</v>
      </c>
      <c r="U80" s="319">
        <f t="shared" si="50"/>
        <v>1000000000</v>
      </c>
      <c r="V80" s="319">
        <f t="shared" si="51"/>
        <v>229086.67689999999</v>
      </c>
      <c r="X80" s="345">
        <f t="shared" si="44"/>
        <v>23.41981052302139</v>
      </c>
      <c r="Y80" s="346">
        <f t="shared" si="45"/>
        <v>-85.484112265953968</v>
      </c>
      <c r="AA80" s="345">
        <f t="shared" si="46"/>
        <v>32.939223747816214</v>
      </c>
      <c r="AB80" s="346">
        <f t="shared" si="47"/>
        <v>-0.55707254833292041</v>
      </c>
      <c r="AD80">
        <f t="shared" si="52"/>
        <v>0</v>
      </c>
      <c r="AE80">
        <f t="shared" si="48"/>
        <v>0</v>
      </c>
    </row>
    <row r="81" spans="1:31" x14ac:dyDescent="0.2">
      <c r="A81" s="347">
        <v>524.80999999999995</v>
      </c>
      <c r="B81" s="364">
        <f t="shared" si="49"/>
        <v>0.52481</v>
      </c>
      <c r="C81" s="337">
        <f t="shared" si="27"/>
        <v>1.0000490006481029</v>
      </c>
      <c r="D81" s="338">
        <f t="shared" si="28"/>
        <v>9.8993582923616857E-3</v>
      </c>
      <c r="E81" s="338">
        <f t="shared" si="29"/>
        <v>1.0000000004803853</v>
      </c>
      <c r="F81" s="339">
        <f t="shared" si="30"/>
        <v>3.099629767662742E-5</v>
      </c>
      <c r="G81" s="338">
        <f t="shared" si="31"/>
        <v>1</v>
      </c>
      <c r="H81" s="339">
        <f t="shared" si="32"/>
        <v>0</v>
      </c>
      <c r="I81" s="337">
        <f t="shared" si="33"/>
        <v>5698.1297916632275</v>
      </c>
      <c r="J81" s="340">
        <f t="shared" si="34"/>
        <v>1.5706208306160283</v>
      </c>
      <c r="K81" s="348">
        <f t="shared" si="35"/>
        <v>1.0037682838115474</v>
      </c>
      <c r="L81" s="349">
        <f t="shared" si="36"/>
        <v>8.6677430002597686E-2</v>
      </c>
      <c r="M81" s="337">
        <f t="shared" si="37"/>
        <v>1.0000001266249547</v>
      </c>
      <c r="N81" s="340">
        <f t="shared" si="38"/>
        <v>5.0323938899391894E-4</v>
      </c>
      <c r="O81" s="341">
        <f t="shared" si="39"/>
        <v>1.0000000641462681</v>
      </c>
      <c r="P81" s="342">
        <f t="shared" si="40"/>
        <v>7.9242077791359677E-4</v>
      </c>
      <c r="Q81" s="343">
        <f t="shared" si="41"/>
        <v>22.340769119146785</v>
      </c>
      <c r="R81" s="344">
        <f t="shared" si="42"/>
        <v>-85.663345341575109</v>
      </c>
      <c r="S81" s="346">
        <f t="shared" si="43"/>
        <v>94.336654658424891</v>
      </c>
      <c r="U81" s="319">
        <f t="shared" si="50"/>
        <v>1000000000</v>
      </c>
      <c r="V81" s="319">
        <f t="shared" si="51"/>
        <v>275425.53609999997</v>
      </c>
      <c r="X81" s="345">
        <f t="shared" si="44"/>
        <v>22.625245935923317</v>
      </c>
      <c r="Y81" s="346">
        <f t="shared" si="45"/>
        <v>-85.052527481701489</v>
      </c>
      <c r="AA81" s="345">
        <f t="shared" si="46"/>
        <v>32.939152052155848</v>
      </c>
      <c r="AB81" s="346">
        <f t="shared" si="47"/>
        <v>-0.61081785987364012</v>
      </c>
      <c r="AD81">
        <f t="shared" si="52"/>
        <v>0</v>
      </c>
      <c r="AE81">
        <f t="shared" si="48"/>
        <v>0</v>
      </c>
    </row>
    <row r="82" spans="1:31" x14ac:dyDescent="0.2">
      <c r="A82" s="347">
        <v>575.44000000000005</v>
      </c>
      <c r="B82" s="364">
        <f t="shared" si="49"/>
        <v>0.57544000000000006</v>
      </c>
      <c r="C82" s="337">
        <f t="shared" si="27"/>
        <v>1.0000589108872242</v>
      </c>
      <c r="D82" s="338">
        <f t="shared" si="28"/>
        <v>1.0854307466841101E-2</v>
      </c>
      <c r="E82" s="338">
        <f t="shared" si="29"/>
        <v>1.0000000005775445</v>
      </c>
      <c r="F82" s="339">
        <f t="shared" si="30"/>
        <v>3.3986603787814955E-5</v>
      </c>
      <c r="G82" s="338">
        <f t="shared" si="31"/>
        <v>1</v>
      </c>
      <c r="H82" s="339">
        <f t="shared" si="32"/>
        <v>0</v>
      </c>
      <c r="I82" s="337">
        <f t="shared" si="33"/>
        <v>6247.8455037446047</v>
      </c>
      <c r="J82" s="340">
        <f t="shared" si="34"/>
        <v>1.5706362716200895</v>
      </c>
      <c r="K82" s="348">
        <f t="shared" si="35"/>
        <v>1.0045287121014437</v>
      </c>
      <c r="L82" s="349">
        <f t="shared" si="36"/>
        <v>9.4991440273739403E-2</v>
      </c>
      <c r="M82" s="337">
        <f t="shared" si="37"/>
        <v>1.0000001522352373</v>
      </c>
      <c r="N82" s="340">
        <f t="shared" si="38"/>
        <v>5.5178839781719346E-4</v>
      </c>
      <c r="O82" s="341">
        <f t="shared" si="39"/>
        <v>1.0000000771200541</v>
      </c>
      <c r="P82" s="342">
        <f t="shared" si="40"/>
        <v>8.6886800209322876E-4</v>
      </c>
      <c r="Q82" s="343">
        <f t="shared" si="41"/>
        <v>21.547301530152403</v>
      </c>
      <c r="R82" s="344">
        <f t="shared" si="42"/>
        <v>-85.249577328135274</v>
      </c>
      <c r="S82" s="346">
        <f t="shared" si="43"/>
        <v>94.750422671864726</v>
      </c>
      <c r="U82" s="319">
        <f t="shared" si="50"/>
        <v>1000000000</v>
      </c>
      <c r="V82" s="319">
        <f t="shared" si="51"/>
        <v>331131.19360000006</v>
      </c>
      <c r="X82" s="345">
        <f t="shared" si="44"/>
        <v>21.831864533372961</v>
      </c>
      <c r="Y82" s="346">
        <f t="shared" si="45"/>
        <v>-84.579836139465783</v>
      </c>
      <c r="AA82" s="345">
        <f t="shared" si="46"/>
        <v>32.939065865711818</v>
      </c>
      <c r="AB82" s="346">
        <f t="shared" si="47"/>
        <v>-0.6697411886695025</v>
      </c>
      <c r="AD82">
        <f t="shared" si="52"/>
        <v>0</v>
      </c>
      <c r="AE82">
        <f t="shared" si="48"/>
        <v>0</v>
      </c>
    </row>
    <row r="83" spans="1:31" x14ac:dyDescent="0.2">
      <c r="A83" s="347">
        <v>630.96</v>
      </c>
      <c r="B83" s="364">
        <f t="shared" si="49"/>
        <v>0.63096000000000008</v>
      </c>
      <c r="C83" s="337">
        <f t="shared" si="27"/>
        <v>1.0000708266233107</v>
      </c>
      <c r="D83" s="338">
        <f t="shared" si="28"/>
        <v>1.1901465726643572E-2</v>
      </c>
      <c r="E83" s="338">
        <f t="shared" si="29"/>
        <v>1.000000000694367</v>
      </c>
      <c r="F83" s="339">
        <f t="shared" si="30"/>
        <v>3.7265722793496479E-5</v>
      </c>
      <c r="G83" s="338">
        <f t="shared" si="31"/>
        <v>1</v>
      </c>
      <c r="H83" s="339">
        <f t="shared" si="32"/>
        <v>0</v>
      </c>
      <c r="I83" s="337">
        <f t="shared" si="33"/>
        <v>6850.6544392940996</v>
      </c>
      <c r="J83" s="340">
        <f t="shared" si="34"/>
        <v>1.5706503553388245</v>
      </c>
      <c r="K83" s="348">
        <f t="shared" si="35"/>
        <v>1.0054422738286946</v>
      </c>
      <c r="L83" s="349">
        <f t="shared" si="36"/>
        <v>0.10409328469563321</v>
      </c>
      <c r="M83" s="337">
        <f t="shared" si="37"/>
        <v>1.0000001830285095</v>
      </c>
      <c r="N83" s="340">
        <f t="shared" si="38"/>
        <v>6.0502641515968185E-4</v>
      </c>
      <c r="O83" s="341">
        <f t="shared" si="39"/>
        <v>1.0000000927194688</v>
      </c>
      <c r="P83" s="342">
        <f t="shared" si="40"/>
        <v>9.526987348834658E-4</v>
      </c>
      <c r="Q83" s="343">
        <f t="shared" si="41"/>
        <v>20.755057777130208</v>
      </c>
      <c r="R83" s="344">
        <f t="shared" si="42"/>
        <v>-84.796550324076932</v>
      </c>
      <c r="S83" s="346">
        <f t="shared" si="43"/>
        <v>95.203449675923068</v>
      </c>
      <c r="U83" s="319">
        <f t="shared" si="50"/>
        <v>1000000000</v>
      </c>
      <c r="V83" s="319">
        <f t="shared" si="51"/>
        <v>398110.52160000004</v>
      </c>
      <c r="X83" s="345">
        <f t="shared" si="44"/>
        <v>21.039724406886045</v>
      </c>
      <c r="Y83" s="346">
        <f t="shared" si="45"/>
        <v>-84.062196119061809</v>
      </c>
      <c r="AA83" s="345">
        <f t="shared" si="46"/>
        <v>32.938962239176547</v>
      </c>
      <c r="AB83" s="346">
        <f t="shared" si="47"/>
        <v>-0.73435420501510174</v>
      </c>
      <c r="AD83">
        <f t="shared" si="52"/>
        <v>0</v>
      </c>
      <c r="AE83">
        <f t="shared" si="48"/>
        <v>0</v>
      </c>
    </row>
    <row r="84" spans="1:31" x14ac:dyDescent="0.2">
      <c r="A84" s="347">
        <v>691.83</v>
      </c>
      <c r="B84" s="364">
        <f t="shared" si="49"/>
        <v>0.69183000000000006</v>
      </c>
      <c r="C84" s="337">
        <f t="shared" si="27"/>
        <v>1.0000851507646329</v>
      </c>
      <c r="D84" s="338">
        <f t="shared" si="28"/>
        <v>1.3049499826526039E-2</v>
      </c>
      <c r="E84" s="338">
        <f t="shared" si="29"/>
        <v>1.0000000008348033</v>
      </c>
      <c r="F84" s="339">
        <f t="shared" si="30"/>
        <v>4.0860823186590099E-5</v>
      </c>
      <c r="G84" s="338">
        <f t="shared" si="31"/>
        <v>1</v>
      </c>
      <c r="H84" s="339">
        <f t="shared" si="32"/>
        <v>0</v>
      </c>
      <c r="I84" s="337">
        <f t="shared" si="33"/>
        <v>7511.5510527488841</v>
      </c>
      <c r="J84" s="340">
        <f t="shared" si="34"/>
        <v>1.5706631984974342</v>
      </c>
      <c r="K84" s="348">
        <f t="shared" si="35"/>
        <v>1.0065394012840536</v>
      </c>
      <c r="L84" s="349">
        <f t="shared" si="36"/>
        <v>0.11405229104252974</v>
      </c>
      <c r="M84" s="337">
        <f t="shared" si="37"/>
        <v>1.0000002200461935</v>
      </c>
      <c r="N84" s="340">
        <f t="shared" si="38"/>
        <v>6.6339453288659996E-4</v>
      </c>
      <c r="O84" s="341">
        <f t="shared" si="39"/>
        <v>1.0000001114720833</v>
      </c>
      <c r="P84" s="342">
        <f t="shared" si="40"/>
        <v>1.0446075401924317E-3</v>
      </c>
      <c r="Q84" s="343">
        <f t="shared" si="41"/>
        <v>19.964454426542218</v>
      </c>
      <c r="R84" s="344">
        <f t="shared" si="42"/>
        <v>-84.300858908502391</v>
      </c>
      <c r="S84" s="346">
        <f t="shared" si="43"/>
        <v>95.699141091497609</v>
      </c>
      <c r="U84" s="319">
        <f t="shared" si="50"/>
        <v>1000000000</v>
      </c>
      <c r="V84" s="319">
        <f t="shared" si="51"/>
        <v>478628.74890000006</v>
      </c>
      <c r="X84" s="345">
        <f t="shared" si="44"/>
        <v>20.249245626169618</v>
      </c>
      <c r="Y84" s="346">
        <f t="shared" si="45"/>
        <v>-83.495667192181131</v>
      </c>
      <c r="AA84" s="345">
        <f t="shared" si="46"/>
        <v>32.938837669304981</v>
      </c>
      <c r="AB84" s="346">
        <f t="shared" si="47"/>
        <v>-0.80519171632125452</v>
      </c>
      <c r="AD84">
        <f t="shared" si="52"/>
        <v>0</v>
      </c>
      <c r="AE84">
        <f t="shared" si="48"/>
        <v>0</v>
      </c>
    </row>
    <row r="85" spans="1:31" x14ac:dyDescent="0.2">
      <c r="A85" s="347">
        <v>758.58</v>
      </c>
      <c r="B85" s="364">
        <f t="shared" si="49"/>
        <v>0.75858000000000003</v>
      </c>
      <c r="C85" s="337">
        <f t="shared" si="27"/>
        <v>1.0001023737962127</v>
      </c>
      <c r="D85" s="338">
        <f t="shared" si="28"/>
        <v>1.4308393572580376E-2</v>
      </c>
      <c r="E85" s="338">
        <f t="shared" si="29"/>
        <v>1.0000000010036636</v>
      </c>
      <c r="F85" s="339">
        <f t="shared" si="30"/>
        <v>4.4803207795837365E-5</v>
      </c>
      <c r="G85" s="338">
        <f t="shared" si="31"/>
        <v>1</v>
      </c>
      <c r="H85" s="339">
        <f t="shared" si="32"/>
        <v>0</v>
      </c>
      <c r="I85" s="337">
        <f t="shared" si="33"/>
        <v>8236.2898242326919</v>
      </c>
      <c r="J85" s="340">
        <f t="shared" si="34"/>
        <v>1.5706749129029869</v>
      </c>
      <c r="K85" s="348">
        <f t="shared" si="35"/>
        <v>1.0078570025922007</v>
      </c>
      <c r="L85" s="349">
        <f t="shared" si="36"/>
        <v>0.12494720020712068</v>
      </c>
      <c r="M85" s="337">
        <f t="shared" si="37"/>
        <v>1.0000002645561406</v>
      </c>
      <c r="N85" s="340">
        <f t="shared" si="38"/>
        <v>7.2740096530129355E-4</v>
      </c>
      <c r="O85" s="341">
        <f t="shared" si="39"/>
        <v>1.0000001340201756</v>
      </c>
      <c r="P85" s="342">
        <f t="shared" si="40"/>
        <v>1.1453946766150974E-3</v>
      </c>
      <c r="Q85" s="343">
        <f t="shared" si="41"/>
        <v>19.175627068724278</v>
      </c>
      <c r="R85" s="344">
        <f t="shared" si="42"/>
        <v>-83.758643173061287</v>
      </c>
      <c r="S85" s="346">
        <f t="shared" si="43"/>
        <v>96.241356826938713</v>
      </c>
      <c r="U85" s="319">
        <f t="shared" si="50"/>
        <v>1000000000</v>
      </c>
      <c r="V85" s="319">
        <f t="shared" si="51"/>
        <v>575443.61640000006</v>
      </c>
      <c r="X85" s="345">
        <f t="shared" si="44"/>
        <v>19.460568046061461</v>
      </c>
      <c r="Y85" s="346">
        <f t="shared" si="45"/>
        <v>-82.875773362600057</v>
      </c>
      <c r="AA85" s="345">
        <f t="shared" si="46"/>
        <v>32.938687891595194</v>
      </c>
      <c r="AB85" s="346">
        <f t="shared" si="47"/>
        <v>-0.88286981046124302</v>
      </c>
      <c r="AD85">
        <f t="shared" si="52"/>
        <v>0</v>
      </c>
      <c r="AE85">
        <f t="shared" si="48"/>
        <v>0</v>
      </c>
    </row>
    <row r="86" spans="1:31" x14ac:dyDescent="0.2">
      <c r="A86" s="347">
        <v>831.76</v>
      </c>
      <c r="B86" s="364">
        <f t="shared" si="49"/>
        <v>0.83175999999999994</v>
      </c>
      <c r="C86" s="337">
        <f t="shared" si="27"/>
        <v>1.0001230771972742</v>
      </c>
      <c r="D86" s="338">
        <f t="shared" si="28"/>
        <v>1.5688503769930494E-2</v>
      </c>
      <c r="E86" s="338">
        <f t="shared" si="29"/>
        <v>1.0000000012066506</v>
      </c>
      <c r="F86" s="339">
        <f t="shared" si="30"/>
        <v>4.9125360688685111E-5</v>
      </c>
      <c r="G86" s="338">
        <f t="shared" si="31"/>
        <v>1</v>
      </c>
      <c r="H86" s="339">
        <f t="shared" si="32"/>
        <v>0</v>
      </c>
      <c r="I86" s="337">
        <f t="shared" si="33"/>
        <v>9030.8423840723153</v>
      </c>
      <c r="J86" s="340">
        <f t="shared" si="34"/>
        <v>1.5706855951533161</v>
      </c>
      <c r="K86" s="348">
        <f t="shared" si="35"/>
        <v>1.009438613830052</v>
      </c>
      <c r="L86" s="349">
        <f t="shared" si="36"/>
        <v>0.13685735185212483</v>
      </c>
      <c r="M86" s="337">
        <f t="shared" si="37"/>
        <v>1.0000003180615125</v>
      </c>
      <c r="N86" s="340">
        <f t="shared" si="38"/>
        <v>7.9757310411253596E-4</v>
      </c>
      <c r="O86" s="341">
        <f t="shared" si="39"/>
        <v>1.0000001611252303</v>
      </c>
      <c r="P86" s="342">
        <f t="shared" si="40"/>
        <v>1.2558906015563566E-3</v>
      </c>
      <c r="Q86" s="343">
        <f t="shared" si="41"/>
        <v>18.38913364206358</v>
      </c>
      <c r="R86" s="344">
        <f t="shared" si="42"/>
        <v>-83.166032163621949</v>
      </c>
      <c r="S86" s="346">
        <f t="shared" si="43"/>
        <v>96.833967836378051</v>
      </c>
      <c r="U86" s="319">
        <f t="shared" si="50"/>
        <v>1000000000</v>
      </c>
      <c r="V86" s="319">
        <f t="shared" si="51"/>
        <v>691824.69759999996</v>
      </c>
      <c r="X86" s="345">
        <f t="shared" si="44"/>
        <v>18.67425466025702</v>
      </c>
      <c r="Y86" s="346">
        <f t="shared" si="45"/>
        <v>-82.198004554458919</v>
      </c>
      <c r="AA86" s="345">
        <f t="shared" si="46"/>
        <v>32.938507850738937</v>
      </c>
      <c r="AB86" s="346">
        <f t="shared" si="47"/>
        <v>-0.96802760916303687</v>
      </c>
      <c r="AD86">
        <f t="shared" si="52"/>
        <v>0</v>
      </c>
      <c r="AE86">
        <f t="shared" si="48"/>
        <v>0</v>
      </c>
    </row>
    <row r="87" spans="1:31" x14ac:dyDescent="0.2">
      <c r="A87" s="347">
        <v>912.01</v>
      </c>
      <c r="B87" s="364">
        <f t="shared" si="49"/>
        <v>0.91200999999999999</v>
      </c>
      <c r="C87" s="337">
        <f t="shared" si="27"/>
        <v>1.0001479705647696</v>
      </c>
      <c r="D87" s="338">
        <f t="shared" si="28"/>
        <v>1.7201879025254291E-2</v>
      </c>
      <c r="E87" s="338">
        <f t="shared" si="29"/>
        <v>1.0000000014507235</v>
      </c>
      <c r="F87" s="339">
        <f t="shared" si="30"/>
        <v>5.3865081507162639E-5</v>
      </c>
      <c r="G87" s="338">
        <f t="shared" si="31"/>
        <v>1</v>
      </c>
      <c r="H87" s="339">
        <f t="shared" si="32"/>
        <v>0</v>
      </c>
      <c r="I87" s="337">
        <f t="shared" si="33"/>
        <v>9902.1575384756889</v>
      </c>
      <c r="J87" s="340">
        <f t="shared" si="34"/>
        <v>1.570695338702371</v>
      </c>
      <c r="K87" s="348">
        <f t="shared" si="35"/>
        <v>1.0113370807430928</v>
      </c>
      <c r="L87" s="349">
        <f t="shared" si="36"/>
        <v>0.14987327299589401</v>
      </c>
      <c r="M87" s="337">
        <f t="shared" si="37"/>
        <v>1.0000003823967958</v>
      </c>
      <c r="N87" s="340">
        <f t="shared" si="38"/>
        <v>8.7452464110270836E-4</v>
      </c>
      <c r="O87" s="341">
        <f t="shared" si="39"/>
        <v>1.0000001937165786</v>
      </c>
      <c r="P87" s="342">
        <f t="shared" si="40"/>
        <v>1.3770616657440447E-3</v>
      </c>
      <c r="Q87" s="343">
        <f t="shared" si="41"/>
        <v>17.605205578402419</v>
      </c>
      <c r="R87" s="344">
        <f t="shared" si="42"/>
        <v>-82.518623116931693</v>
      </c>
      <c r="S87" s="346">
        <f t="shared" si="43"/>
        <v>97.481376883068307</v>
      </c>
      <c r="U87" s="319">
        <f t="shared" si="50"/>
        <v>1000000000</v>
      </c>
      <c r="V87" s="319">
        <f t="shared" si="51"/>
        <v>831762.24009999994</v>
      </c>
      <c r="X87" s="345">
        <f t="shared" si="44"/>
        <v>17.890543069304325</v>
      </c>
      <c r="Y87" s="346">
        <f t="shared" si="45"/>
        <v>-81.457214468134268</v>
      </c>
      <c r="AA87" s="345">
        <f t="shared" si="46"/>
        <v>32.93829137803047</v>
      </c>
      <c r="AB87" s="346">
        <f t="shared" si="47"/>
        <v>-1.0614086487974217</v>
      </c>
      <c r="AD87">
        <f t="shared" si="52"/>
        <v>0</v>
      </c>
      <c r="AE87">
        <f t="shared" si="48"/>
        <v>0</v>
      </c>
    </row>
    <row r="88" spans="1:31" x14ac:dyDescent="0.2">
      <c r="A88" s="347">
        <v>1000</v>
      </c>
      <c r="B88" s="364">
        <f t="shared" si="49"/>
        <v>1</v>
      </c>
      <c r="C88" s="337">
        <f t="shared" si="27"/>
        <v>1.0001778974130904</v>
      </c>
      <c r="D88" s="338">
        <f t="shared" si="28"/>
        <v>1.88611263812851E-2</v>
      </c>
      <c r="E88" s="338">
        <f t="shared" si="29"/>
        <v>1.0000000017441564</v>
      </c>
      <c r="F88" s="339">
        <f t="shared" si="30"/>
        <v>5.9061941751324489E-5</v>
      </c>
      <c r="G88" s="338">
        <f t="shared" si="31"/>
        <v>1</v>
      </c>
      <c r="H88" s="339">
        <f t="shared" si="32"/>
        <v>0</v>
      </c>
      <c r="I88" s="337">
        <f t="shared" si="33"/>
        <v>10857.509818950102</v>
      </c>
      <c r="J88" s="340">
        <f t="shared" si="34"/>
        <v>1.5707042246445795</v>
      </c>
      <c r="K88" s="348">
        <f t="shared" si="35"/>
        <v>1.0136147762969807</v>
      </c>
      <c r="L88" s="349">
        <f t="shared" si="36"/>
        <v>0.16408583998074958</v>
      </c>
      <c r="M88" s="337">
        <f t="shared" si="37"/>
        <v>1.000000459742896</v>
      </c>
      <c r="N88" s="340">
        <f t="shared" si="38"/>
        <v>9.5889803402229867E-4</v>
      </c>
      <c r="O88" s="341">
        <f t="shared" si="39"/>
        <v>1.0000002328990463</v>
      </c>
      <c r="P88" s="342">
        <f t="shared" si="40"/>
        <v>1.5099195182266918E-3</v>
      </c>
      <c r="Q88" s="343">
        <f t="shared" si="41"/>
        <v>16.824476723763905</v>
      </c>
      <c r="R88" s="344">
        <f t="shared" si="42"/>
        <v>-81.812028684880644</v>
      </c>
      <c r="S88" s="346">
        <f t="shared" si="43"/>
        <v>98.187971315119356</v>
      </c>
      <c r="U88" s="319">
        <f t="shared" si="50"/>
        <v>1000000000</v>
      </c>
      <c r="V88" s="319">
        <f t="shared" si="51"/>
        <v>1000000</v>
      </c>
      <c r="X88" s="345">
        <f t="shared" si="44"/>
        <v>17.11007445140698</v>
      </c>
      <c r="Y88" s="346">
        <f t="shared" si="45"/>
        <v>-80.648237729233713</v>
      </c>
      <c r="AA88" s="345">
        <f t="shared" si="46"/>
        <v>32.938031141289301</v>
      </c>
      <c r="AB88" s="346">
        <f t="shared" si="47"/>
        <v>-1.1637909556469339</v>
      </c>
      <c r="AD88">
        <f t="shared" si="52"/>
        <v>0</v>
      </c>
      <c r="AE88">
        <f t="shared" si="48"/>
        <v>0</v>
      </c>
    </row>
    <row r="89" spans="1:31" x14ac:dyDescent="0.2">
      <c r="A89" s="347">
        <v>1096.5</v>
      </c>
      <c r="B89" s="364">
        <f t="shared" si="49"/>
        <v>1.0965</v>
      </c>
      <c r="C89" s="337">
        <f t="shared" si="27"/>
        <v>1.0002138843908179</v>
      </c>
      <c r="D89" s="338">
        <f t="shared" si="28"/>
        <v>2.0680728984436996E-2</v>
      </c>
      <c r="E89" s="338">
        <f t="shared" si="29"/>
        <v>1.0000000020970206</v>
      </c>
      <c r="F89" s="339">
        <f t="shared" si="30"/>
        <v>6.4761419115092646E-5</v>
      </c>
      <c r="G89" s="338">
        <f t="shared" si="31"/>
        <v>1</v>
      </c>
      <c r="H89" s="339">
        <f t="shared" si="32"/>
        <v>0</v>
      </c>
      <c r="I89" s="337">
        <f t="shared" si="33"/>
        <v>11905.259507982028</v>
      </c>
      <c r="J89" s="340">
        <f t="shared" si="34"/>
        <v>1.5707123303057393</v>
      </c>
      <c r="K89" s="348">
        <f t="shared" si="35"/>
        <v>1.0163470311904654</v>
      </c>
      <c r="L89" s="349">
        <f t="shared" si="36"/>
        <v>0.17959624792601683</v>
      </c>
      <c r="M89" s="337">
        <f t="shared" si="37"/>
        <v>1.00000055275449</v>
      </c>
      <c r="N89" s="340">
        <f t="shared" si="38"/>
        <v>1.0514316291085849E-3</v>
      </c>
      <c r="O89" s="341">
        <f t="shared" si="39"/>
        <v>1.0000002800174697</v>
      </c>
      <c r="P89" s="342">
        <f t="shared" si="40"/>
        <v>1.6556268009995045E-3</v>
      </c>
      <c r="Q89" s="343">
        <f t="shared" si="41"/>
        <v>16.047372076235067</v>
      </c>
      <c r="R89" s="344">
        <f t="shared" si="42"/>
        <v>-81.041391380746788</v>
      </c>
      <c r="S89" s="346">
        <f t="shared" si="43"/>
        <v>98.958608619253212</v>
      </c>
      <c r="U89" s="319">
        <f t="shared" si="50"/>
        <v>1000000000</v>
      </c>
      <c r="V89" s="319">
        <f t="shared" si="51"/>
        <v>1202312.25</v>
      </c>
      <c r="X89" s="345">
        <f t="shared" si="44"/>
        <v>16.33328272777613</v>
      </c>
      <c r="Y89" s="346">
        <f t="shared" si="45"/>
        <v>-79.76532301907109</v>
      </c>
      <c r="AA89" s="345">
        <f t="shared" si="46"/>
        <v>32.937718217391314</v>
      </c>
      <c r="AB89" s="346">
        <f t="shared" si="47"/>
        <v>-1.2760683616756783</v>
      </c>
      <c r="AD89">
        <f t="shared" si="52"/>
        <v>0</v>
      </c>
      <c r="AE89">
        <f t="shared" si="48"/>
        <v>0</v>
      </c>
    </row>
    <row r="90" spans="1:31" x14ac:dyDescent="0.2">
      <c r="A90" s="347">
        <v>1202.3</v>
      </c>
      <c r="B90" s="364">
        <f t="shared" si="49"/>
        <v>1.2022999999999999</v>
      </c>
      <c r="C90" s="337">
        <f t="shared" si="27"/>
        <v>1.0002571450214901</v>
      </c>
      <c r="D90" s="338">
        <f t="shared" si="28"/>
        <v>2.2675534419732146E-2</v>
      </c>
      <c r="E90" s="338">
        <f t="shared" si="29"/>
        <v>1.0000000025212223</v>
      </c>
      <c r="F90" s="339">
        <f t="shared" si="30"/>
        <v>7.1010172530831052E-5</v>
      </c>
      <c r="G90" s="338">
        <f t="shared" si="31"/>
        <v>1</v>
      </c>
      <c r="H90" s="339">
        <f t="shared" si="32"/>
        <v>0</v>
      </c>
      <c r="I90" s="337">
        <f t="shared" si="33"/>
        <v>13053.984038258985</v>
      </c>
      <c r="J90" s="340">
        <f t="shared" si="34"/>
        <v>1.5707197218290834</v>
      </c>
      <c r="K90" s="348">
        <f t="shared" si="35"/>
        <v>1.0196219655156062</v>
      </c>
      <c r="L90" s="349">
        <f t="shared" si="36"/>
        <v>0.19650138114643784</v>
      </c>
      <c r="M90" s="337">
        <f t="shared" si="37"/>
        <v>1.0000006645699149</v>
      </c>
      <c r="N90" s="340">
        <f t="shared" si="38"/>
        <v>1.1528829488773452E-3</v>
      </c>
      <c r="O90" s="341">
        <f t="shared" si="39"/>
        <v>1.0000003366617087</v>
      </c>
      <c r="P90" s="342">
        <f t="shared" si="40"/>
        <v>1.8153763557191315E-3</v>
      </c>
      <c r="Q90" s="343">
        <f t="shared" si="41"/>
        <v>15.274853929628446</v>
      </c>
      <c r="R90" s="344">
        <f t="shared" si="42"/>
        <v>-80.202123710150573</v>
      </c>
      <c r="S90" s="346">
        <f t="shared" si="43"/>
        <v>99.797876289849427</v>
      </c>
      <c r="U90" s="319">
        <f t="shared" si="50"/>
        <v>1000000000</v>
      </c>
      <c r="V90" s="319">
        <f t="shared" si="51"/>
        <v>1445525.2899999998</v>
      </c>
      <c r="X90" s="345">
        <f t="shared" si="44"/>
        <v>15.561140738078672</v>
      </c>
      <c r="Y90" s="346">
        <f t="shared" si="45"/>
        <v>-78.802966467875493</v>
      </c>
      <c r="AA90" s="345">
        <f t="shared" si="46"/>
        <v>32.937342060482152</v>
      </c>
      <c r="AB90" s="346">
        <f t="shared" si="47"/>
        <v>-1.3991572422750862</v>
      </c>
      <c r="AD90">
        <f t="shared" si="52"/>
        <v>0</v>
      </c>
      <c r="AE90">
        <f t="shared" ref="AE90:AE153" si="53">IF(AD90&gt;0,S90,0)</f>
        <v>0</v>
      </c>
    </row>
    <row r="91" spans="1:31" x14ac:dyDescent="0.2">
      <c r="A91" s="347">
        <v>1318.3</v>
      </c>
      <c r="B91" s="364">
        <f t="shared" si="49"/>
        <v>1.3183</v>
      </c>
      <c r="C91" s="337">
        <f t="shared" si="27"/>
        <v>1.0003091502764774</v>
      </c>
      <c r="D91" s="338">
        <f t="shared" si="28"/>
        <v>2.4862447690099539E-2</v>
      </c>
      <c r="E91" s="338">
        <f t="shared" si="29"/>
        <v>1.0000000030311955</v>
      </c>
      <c r="F91" s="339">
        <f t="shared" si="30"/>
        <v>7.7861357743964015E-5</v>
      </c>
      <c r="G91" s="338">
        <f t="shared" si="31"/>
        <v>1</v>
      </c>
      <c r="H91" s="339">
        <f t="shared" si="32"/>
        <v>0</v>
      </c>
      <c r="I91" s="337">
        <f t="shared" si="33"/>
        <v>14313.455168544955</v>
      </c>
      <c r="J91" s="340">
        <f t="shared" si="34"/>
        <v>1.5707264624617194</v>
      </c>
      <c r="K91" s="348">
        <f t="shared" si="35"/>
        <v>1.0235452058962216</v>
      </c>
      <c r="L91" s="349">
        <f t="shared" si="36"/>
        <v>0.21490612367594572</v>
      </c>
      <c r="M91" s="337">
        <f t="shared" si="37"/>
        <v>1.0000007989938888</v>
      </c>
      <c r="N91" s="340">
        <f t="shared" si="38"/>
        <v>1.2641149923501849E-3</v>
      </c>
      <c r="O91" s="341">
        <f t="shared" si="39"/>
        <v>1.000000404759213</v>
      </c>
      <c r="P91" s="342">
        <f t="shared" si="40"/>
        <v>1.9905271169104524E-3</v>
      </c>
      <c r="Q91" s="343">
        <f t="shared" si="41"/>
        <v>14.507729408883407</v>
      </c>
      <c r="R91" s="344">
        <f t="shared" si="42"/>
        <v>-79.289312731531311</v>
      </c>
      <c r="S91" s="346">
        <f t="shared" si="43"/>
        <v>100.71068726846869</v>
      </c>
      <c r="U91" s="319">
        <f t="shared" si="50"/>
        <v>1000000000</v>
      </c>
      <c r="V91" s="319">
        <f t="shared" si="51"/>
        <v>1737914.89</v>
      </c>
      <c r="X91" s="345">
        <f t="shared" si="44"/>
        <v>14.794468388431813</v>
      </c>
      <c r="Y91" s="346">
        <f t="shared" si="45"/>
        <v>-77.755211733151427</v>
      </c>
      <c r="AA91" s="345">
        <f t="shared" si="46"/>
        <v>32.936889889383977</v>
      </c>
      <c r="AB91" s="346">
        <f t="shared" si="47"/>
        <v>-1.5341009983798772</v>
      </c>
      <c r="AD91">
        <f t="shared" si="52"/>
        <v>0</v>
      </c>
      <c r="AE91">
        <f t="shared" si="53"/>
        <v>0</v>
      </c>
    </row>
    <row r="92" spans="1:31" x14ac:dyDescent="0.2">
      <c r="A92" s="347">
        <v>1445.4</v>
      </c>
      <c r="B92" s="364">
        <f t="shared" si="49"/>
        <v>1.4454</v>
      </c>
      <c r="C92" s="337">
        <f t="shared" si="27"/>
        <v>1.000371623930338</v>
      </c>
      <c r="D92" s="338">
        <f t="shared" si="28"/>
        <v>2.7258352109685885E-2</v>
      </c>
      <c r="E92" s="338">
        <f t="shared" si="29"/>
        <v>1.0000000036438588</v>
      </c>
      <c r="F92" s="339">
        <f t="shared" si="30"/>
        <v>8.5368130499248397E-5</v>
      </c>
      <c r="G92" s="338">
        <f t="shared" si="31"/>
        <v>1</v>
      </c>
      <c r="H92" s="339">
        <f t="shared" si="32"/>
        <v>0</v>
      </c>
      <c r="I92" s="337">
        <f t="shared" si="33"/>
        <v>15693.444657608692</v>
      </c>
      <c r="J92" s="340">
        <f t="shared" si="34"/>
        <v>1.5707326059214686</v>
      </c>
      <c r="K92" s="348">
        <f t="shared" si="35"/>
        <v>1.0282386509715842</v>
      </c>
      <c r="L92" s="349">
        <f t="shared" si="36"/>
        <v>0.23490322245923848</v>
      </c>
      <c r="M92" s="337">
        <f t="shared" si="37"/>
        <v>1.0000009604859563</v>
      </c>
      <c r="N92" s="340">
        <f t="shared" si="38"/>
        <v>1.3859907556924927E-3</v>
      </c>
      <c r="O92" s="341">
        <f t="shared" si="39"/>
        <v>1.0000004865691738</v>
      </c>
      <c r="P92" s="342">
        <f t="shared" si="40"/>
        <v>2.1824380212565374E-3</v>
      </c>
      <c r="Q92" s="343">
        <f t="shared" si="41"/>
        <v>13.747446809308368</v>
      </c>
      <c r="R92" s="344">
        <f t="shared" si="42"/>
        <v>-78.298739118614179</v>
      </c>
      <c r="S92" s="346">
        <f t="shared" si="43"/>
        <v>101.70126088138582</v>
      </c>
      <c r="U92" s="319">
        <f t="shared" si="50"/>
        <v>1000000000</v>
      </c>
      <c r="V92" s="319">
        <f t="shared" si="51"/>
        <v>2089181.1600000001</v>
      </c>
      <c r="X92" s="345">
        <f t="shared" si="44"/>
        <v>14.03472894874556</v>
      </c>
      <c r="Y92" s="346">
        <f t="shared" si="45"/>
        <v>-76.616797330241411</v>
      </c>
      <c r="AA92" s="345">
        <f t="shared" si="46"/>
        <v>32.936346729495185</v>
      </c>
      <c r="AB92" s="346">
        <f t="shared" si="47"/>
        <v>-1.6819417883727765</v>
      </c>
      <c r="AD92">
        <f t="shared" si="52"/>
        <v>0</v>
      </c>
      <c r="AE92">
        <f t="shared" si="53"/>
        <v>0</v>
      </c>
    </row>
    <row r="93" spans="1:31" x14ac:dyDescent="0.2">
      <c r="A93" s="347">
        <v>1584.9</v>
      </c>
      <c r="B93" s="364">
        <f t="shared" si="49"/>
        <v>1.5849000000000002</v>
      </c>
      <c r="C93" s="337">
        <f t="shared" si="27"/>
        <v>1.0004468018687365</v>
      </c>
      <c r="D93" s="338">
        <f t="shared" si="28"/>
        <v>2.9887642001842196E-2</v>
      </c>
      <c r="E93" s="338">
        <f t="shared" si="29"/>
        <v>1.0000000043811605</v>
      </c>
      <c r="F93" s="339">
        <f t="shared" si="30"/>
        <v>9.3607271317112359E-5</v>
      </c>
      <c r="G93" s="338">
        <f t="shared" si="31"/>
        <v>1</v>
      </c>
      <c r="H93" s="339">
        <f t="shared" si="32"/>
        <v>0</v>
      </c>
      <c r="I93" s="337">
        <f t="shared" si="33"/>
        <v>17208.06726812381</v>
      </c>
      <c r="J93" s="340">
        <f t="shared" si="34"/>
        <v>1.5707382145162205</v>
      </c>
      <c r="K93" s="348">
        <f t="shared" si="35"/>
        <v>1.0338586672740482</v>
      </c>
      <c r="L93" s="349">
        <f t="shared" si="36"/>
        <v>0.25663257252243071</v>
      </c>
      <c r="M93" s="337">
        <f t="shared" si="37"/>
        <v>1.0000011548314616</v>
      </c>
      <c r="N93" s="340">
        <f t="shared" si="38"/>
        <v>1.5197567898784835E-3</v>
      </c>
      <c r="O93" s="341">
        <f t="shared" si="39"/>
        <v>1.0000005850224389</v>
      </c>
      <c r="P93" s="342">
        <f t="shared" si="40"/>
        <v>2.3930719765760501E-3</v>
      </c>
      <c r="Q93" s="343">
        <f t="shared" si="41"/>
        <v>12.993860219360599</v>
      </c>
      <c r="R93" s="344">
        <f t="shared" si="42"/>
        <v>-77.223968227815433</v>
      </c>
      <c r="S93" s="346">
        <f t="shared" si="43"/>
        <v>102.77603177218457</v>
      </c>
      <c r="U93" s="319">
        <f t="shared" si="50"/>
        <v>1000000000</v>
      </c>
      <c r="V93" s="319">
        <f t="shared" si="51"/>
        <v>2511908.0100000002</v>
      </c>
      <c r="X93" s="345">
        <f t="shared" si="44"/>
        <v>13.281795927722344</v>
      </c>
      <c r="Y93" s="346">
        <f t="shared" si="45"/>
        <v>-75.379782856654018</v>
      </c>
      <c r="AA93" s="345">
        <f t="shared" si="46"/>
        <v>32.935693160570636</v>
      </c>
      <c r="AB93" s="346">
        <f t="shared" si="47"/>
        <v>-1.8441853711614087</v>
      </c>
      <c r="AD93">
        <f t="shared" si="52"/>
        <v>0</v>
      </c>
      <c r="AE93">
        <f t="shared" si="53"/>
        <v>0</v>
      </c>
    </row>
    <row r="94" spans="1:31" x14ac:dyDescent="0.2">
      <c r="A94" s="347">
        <v>1737.8</v>
      </c>
      <c r="B94" s="364">
        <f t="shared" si="49"/>
        <v>1.7378</v>
      </c>
      <c r="C94" s="337">
        <f t="shared" si="27"/>
        <v>1.0005371446110347</v>
      </c>
      <c r="D94" s="338">
        <f t="shared" si="28"/>
        <v>3.2769018424308641E-2</v>
      </c>
      <c r="E94" s="338">
        <f t="shared" si="29"/>
        <v>1.0000000052672633</v>
      </c>
      <c r="F94" s="339">
        <f t="shared" si="30"/>
        <v>1.026378421343823E-4</v>
      </c>
      <c r="G94" s="338">
        <f t="shared" si="31"/>
        <v>1</v>
      </c>
      <c r="H94" s="339">
        <f t="shared" si="32"/>
        <v>0</v>
      </c>
      <c r="I94" s="337">
        <f t="shared" si="33"/>
        <v>18868.180509843573</v>
      </c>
      <c r="J94" s="340">
        <f t="shared" si="34"/>
        <v>1.5707433275139142</v>
      </c>
      <c r="K94" s="348">
        <f t="shared" si="35"/>
        <v>1.040572746101996</v>
      </c>
      <c r="L94" s="349">
        <f t="shared" si="36"/>
        <v>0.28016720425816199</v>
      </c>
      <c r="M94" s="337">
        <f t="shared" si="37"/>
        <v>1.0000013883993806</v>
      </c>
      <c r="N94" s="340">
        <f t="shared" si="38"/>
        <v>1.6663719718662386E-3</v>
      </c>
      <c r="O94" s="341">
        <f t="shared" si="39"/>
        <v>1.0000007033455485</v>
      </c>
      <c r="P94" s="342">
        <f t="shared" si="40"/>
        <v>2.6239389183124635E-3</v>
      </c>
      <c r="Q94" s="343">
        <f t="shared" si="41"/>
        <v>12.24933978258302</v>
      </c>
      <c r="R94" s="344">
        <f t="shared" si="42"/>
        <v>-76.062027535956616</v>
      </c>
      <c r="S94" s="346">
        <f t="shared" si="43"/>
        <v>103.93797246404338</v>
      </c>
      <c r="U94" s="319">
        <f t="shared" si="50"/>
        <v>1000000000</v>
      </c>
      <c r="V94" s="319">
        <f t="shared" si="51"/>
        <v>3019948.84</v>
      </c>
      <c r="X94" s="345">
        <f t="shared" si="44"/>
        <v>12.538060832213667</v>
      </c>
      <c r="Y94" s="346">
        <f t="shared" si="45"/>
        <v>-74.040041168600027</v>
      </c>
      <c r="AA94" s="345">
        <f t="shared" si="46"/>
        <v>32.934907819301735</v>
      </c>
      <c r="AB94" s="346">
        <f t="shared" si="47"/>
        <v>-2.0219863673565723</v>
      </c>
      <c r="AD94">
        <f t="shared" si="52"/>
        <v>0</v>
      </c>
      <c r="AE94">
        <f t="shared" si="53"/>
        <v>0</v>
      </c>
    </row>
    <row r="95" spans="1:31" x14ac:dyDescent="0.2">
      <c r="A95" s="347">
        <v>1905.5</v>
      </c>
      <c r="B95" s="364">
        <f t="shared" si="49"/>
        <v>1.9055</v>
      </c>
      <c r="C95" s="337">
        <f t="shared" si="27"/>
        <v>1.0006457820362813</v>
      </c>
      <c r="D95" s="338">
        <f t="shared" si="28"/>
        <v>3.5928670974216863E-2</v>
      </c>
      <c r="E95" s="338">
        <f t="shared" si="29"/>
        <v>1.0000000063329104</v>
      </c>
      <c r="F95" s="339">
        <f t="shared" si="30"/>
        <v>1.1254252966286216E-4</v>
      </c>
      <c r="G95" s="338">
        <f t="shared" si="31"/>
        <v>1</v>
      </c>
      <c r="H95" s="339">
        <f t="shared" si="32"/>
        <v>0</v>
      </c>
      <c r="I95" s="337">
        <f t="shared" si="33"/>
        <v>20688.984896426547</v>
      </c>
      <c r="J95" s="340">
        <f t="shared" si="34"/>
        <v>1.5707479918956546</v>
      </c>
      <c r="K95" s="348">
        <f t="shared" si="35"/>
        <v>1.0485903123649079</v>
      </c>
      <c r="L95" s="349">
        <f t="shared" si="36"/>
        <v>0.30561763336135489</v>
      </c>
      <c r="M95" s="337">
        <f t="shared" si="37"/>
        <v>1.0000016692933786</v>
      </c>
      <c r="N95" s="340">
        <f t="shared" si="38"/>
        <v>1.8271787304534359E-3</v>
      </c>
      <c r="O95" s="341">
        <f t="shared" si="39"/>
        <v>1.0000008456438625</v>
      </c>
      <c r="P95" s="342">
        <f t="shared" si="40"/>
        <v>2.8771527552883974E-3</v>
      </c>
      <c r="Q95" s="343">
        <f t="shared" si="41"/>
        <v>11.514877740266014</v>
      </c>
      <c r="R95" s="344">
        <f t="shared" si="42"/>
        <v>-74.808281501303853</v>
      </c>
      <c r="S95" s="346">
        <f t="shared" si="43"/>
        <v>105.19171849869615</v>
      </c>
      <c r="U95" s="319">
        <f t="shared" si="50"/>
        <v>1000000000</v>
      </c>
      <c r="V95" s="319">
        <f t="shared" si="51"/>
        <v>3630930.25</v>
      </c>
      <c r="X95" s="345">
        <f t="shared" si="44"/>
        <v>11.804543071531855</v>
      </c>
      <c r="Y95" s="346">
        <f t="shared" si="45"/>
        <v>-72.591319790506745</v>
      </c>
      <c r="AA95" s="345">
        <f t="shared" si="46"/>
        <v>32.933963537666543</v>
      </c>
      <c r="AB95" s="346">
        <f t="shared" si="47"/>
        <v>-2.2169617107971114</v>
      </c>
      <c r="AD95">
        <f t="shared" si="52"/>
        <v>0</v>
      </c>
      <c r="AE95">
        <f t="shared" si="53"/>
        <v>0</v>
      </c>
    </row>
    <row r="96" spans="1:31" x14ac:dyDescent="0.2">
      <c r="A96" s="347">
        <v>2089.3000000000002</v>
      </c>
      <c r="B96" s="364">
        <f t="shared" si="49"/>
        <v>2.0893000000000002</v>
      </c>
      <c r="C96" s="337">
        <f t="shared" si="27"/>
        <v>1.0007763209857301</v>
      </c>
      <c r="D96" s="338">
        <f t="shared" si="28"/>
        <v>3.9390838773787976E-2</v>
      </c>
      <c r="E96" s="338">
        <f t="shared" si="29"/>
        <v>1.0000000076135473</v>
      </c>
      <c r="F96" s="339">
        <f t="shared" si="30"/>
        <v>1.2339811441819444E-4</v>
      </c>
      <c r="G96" s="338">
        <f t="shared" si="31"/>
        <v>1</v>
      </c>
      <c r="H96" s="339">
        <f t="shared" si="32"/>
        <v>0</v>
      </c>
      <c r="I96" s="337">
        <f t="shared" si="33"/>
        <v>22684.595190559328</v>
      </c>
      <c r="J96" s="340">
        <f t="shared" si="34"/>
        <v>1.5707522440157276</v>
      </c>
      <c r="K96" s="348">
        <f t="shared" si="35"/>
        <v>1.058145021447604</v>
      </c>
      <c r="L96" s="349">
        <f t="shared" si="36"/>
        <v>0.33304868066971499</v>
      </c>
      <c r="M96" s="337">
        <f t="shared" si="37"/>
        <v>1.0000020068564091</v>
      </c>
      <c r="N96" s="340">
        <f t="shared" si="38"/>
        <v>2.0034235961344468E-3</v>
      </c>
      <c r="O96" s="341">
        <f t="shared" si="39"/>
        <v>1.0000010166506195</v>
      </c>
      <c r="P96" s="342">
        <f t="shared" si="40"/>
        <v>3.1546764107972104E-3</v>
      </c>
      <c r="Q96" s="343">
        <f t="shared" si="41"/>
        <v>10.792690308610201</v>
      </c>
      <c r="R96" s="344">
        <f t="shared" si="42"/>
        <v>-73.460586534736279</v>
      </c>
      <c r="S96" s="346">
        <f t="shared" si="43"/>
        <v>106.53941346526372</v>
      </c>
      <c r="U96" s="319">
        <f t="shared" si="50"/>
        <v>1000000000</v>
      </c>
      <c r="V96" s="319">
        <f t="shared" si="51"/>
        <v>4365174.4900000012</v>
      </c>
      <c r="X96" s="345">
        <f t="shared" si="44"/>
        <v>11.083490155356294</v>
      </c>
      <c r="Y96" s="346">
        <f t="shared" si="45"/>
        <v>-71.029978265828447</v>
      </c>
      <c r="AA96" s="345">
        <f t="shared" si="46"/>
        <v>32.932829022186283</v>
      </c>
      <c r="AB96" s="346">
        <f t="shared" si="47"/>
        <v>-2.4306082689078288</v>
      </c>
      <c r="AD96">
        <f t="shared" si="52"/>
        <v>0</v>
      </c>
      <c r="AE96">
        <f t="shared" si="53"/>
        <v>0</v>
      </c>
    </row>
    <row r="97" spans="1:31" x14ac:dyDescent="0.2">
      <c r="A97" s="347">
        <v>2290.9</v>
      </c>
      <c r="B97" s="364">
        <f t="shared" si="49"/>
        <v>2.2909000000000002</v>
      </c>
      <c r="C97" s="337">
        <f t="shared" si="27"/>
        <v>1.0009332927900436</v>
      </c>
      <c r="D97" s="338">
        <f t="shared" si="28"/>
        <v>4.3187208865560399E-2</v>
      </c>
      <c r="E97" s="338">
        <f t="shared" si="29"/>
        <v>1.0000000091537218</v>
      </c>
      <c r="F97" s="339">
        <f t="shared" si="30"/>
        <v>1.3530500168974178E-4</v>
      </c>
      <c r="G97" s="338">
        <f t="shared" si="31"/>
        <v>1</v>
      </c>
      <c r="H97" s="339">
        <f t="shared" si="32"/>
        <v>0</v>
      </c>
      <c r="I97" s="337">
        <f t="shared" si="33"/>
        <v>24873.469158836124</v>
      </c>
      <c r="J97" s="340">
        <f t="shared" si="34"/>
        <v>1.5707561233156841</v>
      </c>
      <c r="K97" s="348">
        <f t="shared" si="35"/>
        <v>1.069523062307439</v>
      </c>
      <c r="L97" s="349">
        <f t="shared" si="36"/>
        <v>0.36254797454270787</v>
      </c>
      <c r="M97" s="337">
        <f t="shared" si="37"/>
        <v>1.0000024128307972</v>
      </c>
      <c r="N97" s="340">
        <f t="shared" si="38"/>
        <v>2.196736645862991E-3</v>
      </c>
      <c r="O97" s="341">
        <f t="shared" si="39"/>
        <v>1.0000012223146535</v>
      </c>
      <c r="P97" s="342">
        <f t="shared" si="40"/>
        <v>3.459076785576692E-3</v>
      </c>
      <c r="Q97" s="343">
        <f t="shared" si="41"/>
        <v>10.084115393023556</v>
      </c>
      <c r="R97" s="344">
        <f t="shared" si="42"/>
        <v>-72.01597441103371</v>
      </c>
      <c r="S97" s="346">
        <f t="shared" si="43"/>
        <v>107.98402558896629</v>
      </c>
      <c r="U97" s="319">
        <f t="shared" si="50"/>
        <v>1000000000</v>
      </c>
      <c r="V97" s="319">
        <f t="shared" si="51"/>
        <v>5248222.8100000005</v>
      </c>
      <c r="X97" s="345">
        <f t="shared" si="44"/>
        <v>10.37627928805402</v>
      </c>
      <c r="Y97" s="346">
        <f t="shared" si="45"/>
        <v>-69.351091515760672</v>
      </c>
      <c r="AA97" s="345">
        <f t="shared" si="46"/>
        <v>32.931464973901917</v>
      </c>
      <c r="AB97" s="346">
        <f t="shared" si="47"/>
        <v>-2.6648828952730463</v>
      </c>
      <c r="AD97">
        <f t="shared" si="52"/>
        <v>0</v>
      </c>
      <c r="AE97">
        <f t="shared" si="53"/>
        <v>0</v>
      </c>
    </row>
    <row r="98" spans="1:31" x14ac:dyDescent="0.2">
      <c r="A98" s="347">
        <v>2511.9</v>
      </c>
      <c r="B98" s="364">
        <f t="shared" si="49"/>
        <v>2.5119000000000002</v>
      </c>
      <c r="C98" s="337">
        <f t="shared" si="27"/>
        <v>1.0011219393881101</v>
      </c>
      <c r="D98" s="338">
        <f t="shared" si="28"/>
        <v>4.7347469514858874E-2</v>
      </c>
      <c r="E98" s="338">
        <f t="shared" si="29"/>
        <v>1.0000000110050022</v>
      </c>
      <c r="F98" s="339">
        <f t="shared" si="30"/>
        <v>1.4835769056920686E-4</v>
      </c>
      <c r="G98" s="338">
        <f t="shared" si="31"/>
        <v>1</v>
      </c>
      <c r="H98" s="339">
        <f t="shared" si="32"/>
        <v>0</v>
      </c>
      <c r="I98" s="337">
        <f t="shared" si="33"/>
        <v>27272.978816878232</v>
      </c>
      <c r="J98" s="340">
        <f t="shared" si="34"/>
        <v>1.5707596604664058</v>
      </c>
      <c r="K98" s="348">
        <f t="shared" si="35"/>
        <v>1.0830412211452207</v>
      </c>
      <c r="L98" s="349">
        <f t="shared" si="36"/>
        <v>0.39414330066011694</v>
      </c>
      <c r="M98" s="337">
        <f t="shared" si="37"/>
        <v>1.0000029008093658</v>
      </c>
      <c r="N98" s="340">
        <f t="shared" si="38"/>
        <v>2.4086520518757449E-3</v>
      </c>
      <c r="O98" s="341">
        <f t="shared" si="39"/>
        <v>1.0000014695223853</v>
      </c>
      <c r="P98" s="342">
        <f t="shared" si="40"/>
        <v>3.792769799681509E-3</v>
      </c>
      <c r="Q98" s="343">
        <f t="shared" si="41"/>
        <v>9.3916445221800728</v>
      </c>
      <c r="R98" s="344">
        <f t="shared" si="42"/>
        <v>-70.474776806848084</v>
      </c>
      <c r="S98" s="346">
        <f t="shared" si="43"/>
        <v>109.52522319315192</v>
      </c>
      <c r="U98" s="319">
        <f t="shared" si="50"/>
        <v>1000000000</v>
      </c>
      <c r="V98" s="319">
        <f t="shared" si="51"/>
        <v>6309641.6100000003</v>
      </c>
      <c r="X98" s="345">
        <f t="shared" si="44"/>
        <v>9.6854474297972413</v>
      </c>
      <c r="Y98" s="346">
        <f t="shared" si="45"/>
        <v>-67.553157197025399</v>
      </c>
      <c r="AA98" s="345">
        <f t="shared" si="46"/>
        <v>32.929825961315217</v>
      </c>
      <c r="AB98" s="346">
        <f t="shared" si="47"/>
        <v>-2.9216196098226836</v>
      </c>
      <c r="AD98">
        <f t="shared" si="52"/>
        <v>0</v>
      </c>
      <c r="AE98">
        <f t="shared" si="53"/>
        <v>0</v>
      </c>
    </row>
    <row r="99" spans="1:31" x14ac:dyDescent="0.2">
      <c r="A99" s="347">
        <v>2754.2</v>
      </c>
      <c r="B99" s="364">
        <f t="shared" si="49"/>
        <v>2.7542</v>
      </c>
      <c r="C99" s="337">
        <f t="shared" si="27"/>
        <v>1.0013486723292011</v>
      </c>
      <c r="D99" s="338">
        <f t="shared" si="28"/>
        <v>5.1906807017749669E-2</v>
      </c>
      <c r="E99" s="338">
        <f t="shared" si="29"/>
        <v>1.0000000132305042</v>
      </c>
      <c r="F99" s="339">
        <f t="shared" si="30"/>
        <v>1.6266839872585405E-4</v>
      </c>
      <c r="G99" s="338">
        <f t="shared" si="31"/>
        <v>1</v>
      </c>
      <c r="H99" s="339">
        <f t="shared" si="32"/>
        <v>0</v>
      </c>
      <c r="I99" s="337">
        <f t="shared" si="33"/>
        <v>29903.753433238806</v>
      </c>
      <c r="J99" s="340">
        <f t="shared" si="34"/>
        <v>1.5707628861767342</v>
      </c>
      <c r="K99" s="348">
        <f t="shared" si="35"/>
        <v>1.0990719088197163</v>
      </c>
      <c r="L99" s="349">
        <f t="shared" si="36"/>
        <v>0.42785324420067344</v>
      </c>
      <c r="M99" s="337">
        <f t="shared" si="37"/>
        <v>1.0000034874285419</v>
      </c>
      <c r="N99" s="340">
        <f t="shared" si="38"/>
        <v>2.6409916345782412E-3</v>
      </c>
      <c r="O99" s="341">
        <f t="shared" si="39"/>
        <v>1.000001766702308</v>
      </c>
      <c r="P99" s="342">
        <f t="shared" si="40"/>
        <v>4.1586243650716193E-3</v>
      </c>
      <c r="Q99" s="343">
        <f t="shared" si="41"/>
        <v>8.7174297868579274</v>
      </c>
      <c r="R99" s="344">
        <f t="shared" si="42"/>
        <v>-68.838208985194868</v>
      </c>
      <c r="S99" s="346">
        <f t="shared" si="43"/>
        <v>111.16179101480513</v>
      </c>
      <c r="U99" s="319">
        <f t="shared" si="50"/>
        <v>1000000000</v>
      </c>
      <c r="V99" s="319">
        <f t="shared" si="51"/>
        <v>7585617.6399999987</v>
      </c>
      <c r="X99" s="345">
        <f t="shared" si="44"/>
        <v>9.0132022039427024</v>
      </c>
      <c r="Y99" s="346">
        <f t="shared" si="45"/>
        <v>-65.635216599426087</v>
      </c>
      <c r="AA99" s="345">
        <f t="shared" si="46"/>
        <v>32.927856451847603</v>
      </c>
      <c r="AB99" s="346">
        <f t="shared" si="47"/>
        <v>-3.2029923857687841</v>
      </c>
      <c r="AD99">
        <f t="shared" si="52"/>
        <v>0</v>
      </c>
      <c r="AE99">
        <f t="shared" si="53"/>
        <v>0</v>
      </c>
    </row>
    <row r="100" spans="1:31" x14ac:dyDescent="0.2">
      <c r="A100" s="347">
        <v>3020</v>
      </c>
      <c r="B100" s="364">
        <f t="shared" si="49"/>
        <v>3.02</v>
      </c>
      <c r="C100" s="337">
        <f t="shared" si="27"/>
        <v>1.0016213255369837</v>
      </c>
      <c r="D100" s="338">
        <f t="shared" si="28"/>
        <v>5.6905851773509514E-2</v>
      </c>
      <c r="E100" s="338">
        <f t="shared" si="29"/>
        <v>1.0000000159074047</v>
      </c>
      <c r="F100" s="339">
        <f t="shared" si="30"/>
        <v>1.7836706240482864E-4</v>
      </c>
      <c r="G100" s="338">
        <f t="shared" si="31"/>
        <v>1</v>
      </c>
      <c r="H100" s="339">
        <f t="shared" si="32"/>
        <v>0</v>
      </c>
      <c r="I100" s="337">
        <f t="shared" si="33"/>
        <v>32789.679529403758</v>
      </c>
      <c r="J100" s="340">
        <f t="shared" si="34"/>
        <v>1.5707658293940525</v>
      </c>
      <c r="K100" s="348">
        <f t="shared" si="35"/>
        <v>1.1180496358755303</v>
      </c>
      <c r="L100" s="349">
        <f t="shared" si="36"/>
        <v>0.46367559825494375</v>
      </c>
      <c r="M100" s="337">
        <f t="shared" si="37"/>
        <v>1.0000041930312813</v>
      </c>
      <c r="N100" s="340">
        <f t="shared" si="38"/>
        <v>2.8958648553515818E-3</v>
      </c>
      <c r="O100" s="341">
        <f t="shared" si="39"/>
        <v>1.0000021241609176</v>
      </c>
      <c r="P100" s="342">
        <f t="shared" si="40"/>
        <v>4.5599623910473359E-3</v>
      </c>
      <c r="Q100" s="343">
        <f t="shared" si="41"/>
        <v>8.0635260057875886</v>
      </c>
      <c r="R100" s="344">
        <f t="shared" si="42"/>
        <v>-67.109030751453474</v>
      </c>
      <c r="S100" s="346">
        <f t="shared" si="43"/>
        <v>112.89096924854653</v>
      </c>
      <c r="U100" s="319">
        <f t="shared" si="50"/>
        <v>1000000000</v>
      </c>
      <c r="V100" s="319">
        <f t="shared" si="51"/>
        <v>9120400</v>
      </c>
      <c r="X100" s="345">
        <f t="shared" si="44"/>
        <v>8.3616662285352579</v>
      </c>
      <c r="Y100" s="346">
        <f t="shared" si="45"/>
        <v>-63.597518691356392</v>
      </c>
      <c r="AA100" s="345">
        <f t="shared" si="46"/>
        <v>32.925488646184711</v>
      </c>
      <c r="AB100" s="346">
        <f t="shared" si="47"/>
        <v>-3.5115120600970853</v>
      </c>
      <c r="AD100">
        <f t="shared" si="52"/>
        <v>0</v>
      </c>
      <c r="AE100">
        <f t="shared" si="53"/>
        <v>0</v>
      </c>
    </row>
    <row r="101" spans="1:31" x14ac:dyDescent="0.2">
      <c r="A101" s="347">
        <v>3311.3</v>
      </c>
      <c r="B101" s="364">
        <f t="shared" si="49"/>
        <v>3.3113000000000001</v>
      </c>
      <c r="C101" s="337">
        <f t="shared" si="27"/>
        <v>1.0019488675936314</v>
      </c>
      <c r="D101" s="338">
        <f t="shared" si="28"/>
        <v>6.2381211555853841E-2</v>
      </c>
      <c r="E101" s="338">
        <f t="shared" si="29"/>
        <v>1.0000000191241658</v>
      </c>
      <c r="F101" s="339">
        <f t="shared" si="30"/>
        <v>1.9557180545513427E-4</v>
      </c>
      <c r="G101" s="338">
        <f t="shared" si="31"/>
        <v>1</v>
      </c>
      <c r="H101" s="339">
        <f t="shared" si="32"/>
        <v>0</v>
      </c>
      <c r="I101" s="337">
        <f t="shared" si="33"/>
        <v>35952.472124907799</v>
      </c>
      <c r="J101" s="340">
        <f t="shared" si="34"/>
        <v>1.5707685122958921</v>
      </c>
      <c r="K101" s="348">
        <f t="shared" si="35"/>
        <v>1.1404369891993917</v>
      </c>
      <c r="L101" s="349">
        <f t="shared" si="36"/>
        <v>0.5015115950353507</v>
      </c>
      <c r="M101" s="337">
        <f t="shared" si="37"/>
        <v>1.0000050409349199</v>
      </c>
      <c r="N101" s="340">
        <f t="shared" si="38"/>
        <v>3.1751893626279994E-3</v>
      </c>
      <c r="O101" s="341">
        <f t="shared" si="39"/>
        <v>1.0000025537119441</v>
      </c>
      <c r="P101" s="342">
        <f t="shared" si="40"/>
        <v>4.9998038281978763E-3</v>
      </c>
      <c r="Q101" s="343">
        <f t="shared" si="41"/>
        <v>7.433047498113174</v>
      </c>
      <c r="R101" s="344">
        <f t="shared" si="42"/>
        <v>-65.29527596021012</v>
      </c>
      <c r="S101" s="346">
        <f t="shared" si="43"/>
        <v>114.70472403978988</v>
      </c>
      <c r="U101" s="319">
        <f t="shared" si="50"/>
        <v>1000000000</v>
      </c>
      <c r="V101" s="319">
        <f t="shared" si="51"/>
        <v>10964707.690000001</v>
      </c>
      <c r="X101" s="345">
        <f t="shared" si="44"/>
        <v>7.7340313485859884</v>
      </c>
      <c r="Y101" s="346">
        <f t="shared" si="45"/>
        <v>-61.445833594043606</v>
      </c>
      <c r="AA101" s="345">
        <f t="shared" si="46"/>
        <v>32.922645018459569</v>
      </c>
      <c r="AB101" s="346">
        <f t="shared" si="47"/>
        <v>-3.8494423661665316</v>
      </c>
      <c r="AD101">
        <f t="shared" si="52"/>
        <v>0</v>
      </c>
      <c r="AE101">
        <f t="shared" si="53"/>
        <v>0</v>
      </c>
    </row>
    <row r="102" spans="1:31" x14ac:dyDescent="0.2">
      <c r="A102" s="347">
        <v>3630.8</v>
      </c>
      <c r="B102" s="364">
        <f t="shared" si="49"/>
        <v>3.6308000000000002</v>
      </c>
      <c r="C102" s="337">
        <f t="shared" si="27"/>
        <v>1.0023426343964406</v>
      </c>
      <c r="D102" s="338">
        <f t="shared" si="28"/>
        <v>6.8382311164683102E-2</v>
      </c>
      <c r="E102" s="338">
        <f t="shared" si="29"/>
        <v>1.0000000229927064</v>
      </c>
      <c r="F102" s="339">
        <f t="shared" si="30"/>
        <v>2.1444209507298661E-4</v>
      </c>
      <c r="G102" s="338">
        <f t="shared" si="31"/>
        <v>1</v>
      </c>
      <c r="H102" s="339">
        <f t="shared" si="32"/>
        <v>0</v>
      </c>
      <c r="I102" s="337">
        <f t="shared" si="33"/>
        <v>39421.446496125238</v>
      </c>
      <c r="J102" s="340">
        <f t="shared" si="34"/>
        <v>1.570770959892132</v>
      </c>
      <c r="K102" s="348">
        <f t="shared" si="35"/>
        <v>1.1667916837396946</v>
      </c>
      <c r="L102" s="349">
        <f t="shared" si="36"/>
        <v>0.54127780125156533</v>
      </c>
      <c r="M102" s="337">
        <f t="shared" si="37"/>
        <v>1.0000060606396743</v>
      </c>
      <c r="N102" s="340">
        <f t="shared" si="38"/>
        <v>3.4815539820519841E-3</v>
      </c>
      <c r="O102" s="341">
        <f t="shared" si="39"/>
        <v>1.0000030703019764</v>
      </c>
      <c r="P102" s="342">
        <f t="shared" si="40"/>
        <v>5.4822256096205618E-3</v>
      </c>
      <c r="Q102" s="343">
        <f t="shared" si="41"/>
        <v>6.8279859467451134</v>
      </c>
      <c r="R102" s="344">
        <f t="shared" si="42"/>
        <v>-63.404931035324672</v>
      </c>
      <c r="S102" s="346">
        <f t="shared" si="43"/>
        <v>116.59506896467533</v>
      </c>
      <c r="U102" s="319">
        <f t="shared" si="50"/>
        <v>1000000000</v>
      </c>
      <c r="V102" s="319">
        <f t="shared" si="51"/>
        <v>13182708.640000001</v>
      </c>
      <c r="X102" s="345">
        <f t="shared" si="44"/>
        <v>7.1323871424679162</v>
      </c>
      <c r="Y102" s="346">
        <f t="shared" si="45"/>
        <v>-59.185091444643959</v>
      </c>
      <c r="AA102" s="345">
        <f t="shared" si="46"/>
        <v>32.919227673209576</v>
      </c>
      <c r="AB102" s="346">
        <f t="shared" si="47"/>
        <v>-4.2198395906807074</v>
      </c>
      <c r="AD102">
        <f t="shared" si="52"/>
        <v>0</v>
      </c>
      <c r="AE102">
        <f t="shared" si="53"/>
        <v>0</v>
      </c>
    </row>
    <row r="103" spans="1:31" x14ac:dyDescent="0.2">
      <c r="A103" s="347">
        <v>3981.1</v>
      </c>
      <c r="B103" s="364">
        <f t="shared" si="49"/>
        <v>3.9811000000000001</v>
      </c>
      <c r="C103" s="337">
        <f t="shared" si="27"/>
        <v>1.0028158104660514</v>
      </c>
      <c r="D103" s="338">
        <f t="shared" si="28"/>
        <v>7.4956240296007226E-2</v>
      </c>
      <c r="E103" s="338">
        <f t="shared" si="29"/>
        <v>1.00000002764341</v>
      </c>
      <c r="F103" s="339">
        <f t="shared" si="30"/>
        <v>2.3513149224637785E-4</v>
      </c>
      <c r="G103" s="338">
        <f t="shared" si="31"/>
        <v>1</v>
      </c>
      <c r="H103" s="339">
        <f t="shared" si="32"/>
        <v>0</v>
      </c>
      <c r="I103" s="337">
        <f t="shared" si="33"/>
        <v>43224.832168455745</v>
      </c>
      <c r="J103" s="340">
        <f t="shared" si="34"/>
        <v>1.5707731919450911</v>
      </c>
      <c r="K103" s="348">
        <f t="shared" si="35"/>
        <v>1.1977075158051462</v>
      </c>
      <c r="L103" s="349">
        <f t="shared" si="36"/>
        <v>0.58279368147739219</v>
      </c>
      <c r="M103" s="337">
        <f t="shared" si="37"/>
        <v>1.0000072865125627</v>
      </c>
      <c r="N103" s="340">
        <f t="shared" si="38"/>
        <v>3.8174515893475078E-3</v>
      </c>
      <c r="O103" s="341">
        <f t="shared" si="39"/>
        <v>1.0000036913440244</v>
      </c>
      <c r="P103" s="342">
        <f t="shared" si="40"/>
        <v>6.0111537218831062E-3</v>
      </c>
      <c r="Q103" s="343">
        <f t="shared" si="41"/>
        <v>6.2510043622628491</v>
      </c>
      <c r="R103" s="344">
        <f t="shared" si="42"/>
        <v>-61.451398043245433</v>
      </c>
      <c r="S103" s="346">
        <f t="shared" si="43"/>
        <v>118.54860195675457</v>
      </c>
      <c r="U103" s="319">
        <f t="shared" si="50"/>
        <v>1000000000</v>
      </c>
      <c r="V103" s="319">
        <f t="shared" si="51"/>
        <v>15849157.209999999</v>
      </c>
      <c r="X103" s="345">
        <f t="shared" si="44"/>
        <v>6.5595102938529593</v>
      </c>
      <c r="Y103" s="346">
        <f t="shared" si="45"/>
        <v>-56.825780124698319</v>
      </c>
      <c r="AA103" s="345">
        <f t="shared" si="46"/>
        <v>32.915122937342268</v>
      </c>
      <c r="AB103" s="346">
        <f t="shared" si="47"/>
        <v>-4.6256179185471131</v>
      </c>
      <c r="AD103">
        <f t="shared" si="52"/>
        <v>0</v>
      </c>
      <c r="AE103">
        <f t="shared" si="53"/>
        <v>0</v>
      </c>
    </row>
    <row r="104" spans="1:31" x14ac:dyDescent="0.2">
      <c r="A104" s="347">
        <v>4365.2</v>
      </c>
      <c r="B104" s="364">
        <f t="shared" si="49"/>
        <v>4.3651999999999997</v>
      </c>
      <c r="C104" s="337">
        <f t="shared" si="27"/>
        <v>1.0033844044786906</v>
      </c>
      <c r="D104" s="338">
        <f t="shared" si="28"/>
        <v>8.2157005824031973E-2</v>
      </c>
      <c r="E104" s="338">
        <f t="shared" si="29"/>
        <v>1.0000000332348509</v>
      </c>
      <c r="F104" s="339">
        <f t="shared" si="30"/>
        <v>2.5781718272032029E-4</v>
      </c>
      <c r="G104" s="338">
        <f t="shared" si="31"/>
        <v>1</v>
      </c>
      <c r="H104" s="339">
        <f t="shared" si="32"/>
        <v>0</v>
      </c>
      <c r="I104" s="337">
        <f t="shared" si="33"/>
        <v>47395.201671208422</v>
      </c>
      <c r="J104" s="340">
        <f t="shared" si="34"/>
        <v>1.5707752276125995</v>
      </c>
      <c r="K104" s="348">
        <f t="shared" si="35"/>
        <v>1.2338518574764461</v>
      </c>
      <c r="L104" s="349">
        <f t="shared" si="36"/>
        <v>0.6258421899010822</v>
      </c>
      <c r="M104" s="337">
        <f t="shared" si="37"/>
        <v>1.0000087603512102</v>
      </c>
      <c r="N104" s="340">
        <f t="shared" si="38"/>
        <v>4.1857585352336234E-3</v>
      </c>
      <c r="O104" s="341">
        <f t="shared" si="39"/>
        <v>1.0000044380167696</v>
      </c>
      <c r="P104" s="342">
        <f t="shared" si="40"/>
        <v>6.5911181829921431E-3</v>
      </c>
      <c r="Q104" s="343">
        <f t="shared" si="41"/>
        <v>5.7042853323969753</v>
      </c>
      <c r="R104" s="344">
        <f t="shared" si="42"/>
        <v>-59.450622458258486</v>
      </c>
      <c r="S104" s="346">
        <f t="shared" si="43"/>
        <v>120.54937754174151</v>
      </c>
      <c r="U104" s="319">
        <f t="shared" si="50"/>
        <v>1000000000</v>
      </c>
      <c r="V104" s="319">
        <f t="shared" si="51"/>
        <v>19054971.039999999</v>
      </c>
      <c r="X104" s="345">
        <f t="shared" si="44"/>
        <v>6.0177211825637711</v>
      </c>
      <c r="Y104" s="346">
        <f t="shared" si="45"/>
        <v>-54.380501343614725</v>
      </c>
      <c r="AA104" s="345">
        <f t="shared" si="46"/>
        <v>32.910193018765582</v>
      </c>
      <c r="AB104" s="346">
        <f t="shared" si="47"/>
        <v>-5.0701211146437721</v>
      </c>
      <c r="AD104">
        <f t="shared" si="52"/>
        <v>0</v>
      </c>
      <c r="AE104">
        <f t="shared" si="53"/>
        <v>0</v>
      </c>
    </row>
    <row r="105" spans="1:31" x14ac:dyDescent="0.2">
      <c r="A105" s="347">
        <v>4786.3</v>
      </c>
      <c r="B105" s="364">
        <f t="shared" si="49"/>
        <v>4.7862999999999998</v>
      </c>
      <c r="C105" s="337">
        <f t="shared" si="27"/>
        <v>1.0040674830112872</v>
      </c>
      <c r="D105" s="338">
        <f t="shared" si="28"/>
        <v>9.0041586847653052E-2</v>
      </c>
      <c r="E105" s="338">
        <f t="shared" si="29"/>
        <v>1.0000000399563005</v>
      </c>
      <c r="F105" s="339">
        <f t="shared" si="30"/>
        <v>2.8268816460295053E-4</v>
      </c>
      <c r="G105" s="338">
        <f t="shared" si="31"/>
        <v>1</v>
      </c>
      <c r="H105" s="339">
        <f t="shared" si="32"/>
        <v>0</v>
      </c>
      <c r="I105" s="337">
        <f t="shared" si="33"/>
        <v>51967.299035648051</v>
      </c>
      <c r="J105" s="340">
        <f t="shared" si="34"/>
        <v>1.5707770839245028</v>
      </c>
      <c r="K105" s="348">
        <f t="shared" si="35"/>
        <v>1.2759463825897155</v>
      </c>
      <c r="L105" s="349">
        <f t="shared" si="36"/>
        <v>0.67014439262713332</v>
      </c>
      <c r="M105" s="337">
        <f t="shared" si="37"/>
        <v>1.0000105320441854</v>
      </c>
      <c r="N105" s="340">
        <f t="shared" si="38"/>
        <v>4.5895428420894731E-3</v>
      </c>
      <c r="O105" s="341">
        <f t="shared" si="39"/>
        <v>1.0000053355996987</v>
      </c>
      <c r="P105" s="342">
        <f t="shared" si="40"/>
        <v>7.226951076415869E-3</v>
      </c>
      <c r="Q105" s="343">
        <f t="shared" si="41"/>
        <v>5.1898238070148786</v>
      </c>
      <c r="R105" s="344">
        <f t="shared" si="42"/>
        <v>-57.422293466916031</v>
      </c>
      <c r="S105" s="346">
        <f t="shared" si="43"/>
        <v>122.57770653308397</v>
      </c>
      <c r="U105" s="319">
        <f t="shared" si="50"/>
        <v>1000000000</v>
      </c>
      <c r="V105" s="319">
        <f t="shared" si="51"/>
        <v>22908667.690000001</v>
      </c>
      <c r="X105" s="345">
        <f t="shared" si="44"/>
        <v>5.5091785155429669</v>
      </c>
      <c r="Y105" s="346">
        <f t="shared" si="45"/>
        <v>-51.865413596859092</v>
      </c>
      <c r="AA105" s="345">
        <f t="shared" si="46"/>
        <v>32.904274160404292</v>
      </c>
      <c r="AB105" s="346">
        <f t="shared" si="47"/>
        <v>-5.5568798700569513</v>
      </c>
      <c r="AD105">
        <f t="shared" si="52"/>
        <v>0</v>
      </c>
      <c r="AE105">
        <f t="shared" si="53"/>
        <v>0</v>
      </c>
    </row>
    <row r="106" spans="1:31" x14ac:dyDescent="0.2">
      <c r="A106" s="347">
        <v>5248.1</v>
      </c>
      <c r="B106" s="364">
        <f t="shared" si="49"/>
        <v>5.2481</v>
      </c>
      <c r="C106" s="337">
        <f t="shared" si="27"/>
        <v>1.004888237430873</v>
      </c>
      <c r="D106" s="338">
        <f t="shared" si="28"/>
        <v>9.8675303412279022E-2</v>
      </c>
      <c r="E106" s="338">
        <f t="shared" si="29"/>
        <v>1.0000000480385223</v>
      </c>
      <c r="F106" s="339">
        <f t="shared" si="30"/>
        <v>3.0996296693876679E-4</v>
      </c>
      <c r="G106" s="338">
        <f t="shared" si="31"/>
        <v>1</v>
      </c>
      <c r="H106" s="339">
        <f t="shared" si="32"/>
        <v>0</v>
      </c>
      <c r="I106" s="337">
        <f t="shared" si="33"/>
        <v>56981.2970479262</v>
      </c>
      <c r="J106" s="340">
        <f t="shared" si="34"/>
        <v>1.5707787771768313</v>
      </c>
      <c r="K106" s="348">
        <f t="shared" si="35"/>
        <v>1.324793100298272</v>
      </c>
      <c r="L106" s="349">
        <f t="shared" si="36"/>
        <v>0.71539403081387021</v>
      </c>
      <c r="M106" s="337">
        <f t="shared" si="37"/>
        <v>1.0000126624161012</v>
      </c>
      <c r="N106" s="340">
        <f t="shared" si="38"/>
        <v>5.0323518336196265E-3</v>
      </c>
      <c r="O106" s="341">
        <f t="shared" si="39"/>
        <v>1.0000064149153558</v>
      </c>
      <c r="P106" s="342">
        <f t="shared" si="40"/>
        <v>7.9242395569662887E-3</v>
      </c>
      <c r="Q106" s="343">
        <f t="shared" si="41"/>
        <v>4.7089677385277078</v>
      </c>
      <c r="R106" s="344">
        <f t="shared" si="42"/>
        <v>-55.388212751197933</v>
      </c>
      <c r="S106" s="346">
        <f t="shared" si="43"/>
        <v>124.61178724880207</v>
      </c>
      <c r="U106" s="319">
        <f t="shared" si="50"/>
        <v>1000000000</v>
      </c>
      <c r="V106" s="319">
        <f t="shared" si="51"/>
        <v>27542553.610000003</v>
      </c>
      <c r="X106" s="345">
        <f t="shared" si="44"/>
        <v>5.0354289540408086</v>
      </c>
      <c r="Y106" s="346">
        <f t="shared" si="45"/>
        <v>-49.298268403888876</v>
      </c>
      <c r="AA106" s="345">
        <f t="shared" si="46"/>
        <v>32.897167653419281</v>
      </c>
      <c r="AB106" s="346">
        <f t="shared" si="47"/>
        <v>-6.0899443473090562</v>
      </c>
      <c r="AD106">
        <f t="shared" si="52"/>
        <v>0</v>
      </c>
      <c r="AE106">
        <f t="shared" si="53"/>
        <v>0</v>
      </c>
    </row>
    <row r="107" spans="1:31" x14ac:dyDescent="0.2">
      <c r="A107" s="347">
        <v>5370.3</v>
      </c>
      <c r="B107" s="364">
        <f t="shared" si="49"/>
        <v>5.3703000000000003</v>
      </c>
      <c r="C107" s="337">
        <f t="shared" si="27"/>
        <v>1.0051179428024908</v>
      </c>
      <c r="D107" s="338">
        <f t="shared" si="28"/>
        <v>0.10095751508720935</v>
      </c>
      <c r="E107" s="338">
        <f t="shared" si="29"/>
        <v>1.0000000503016848</v>
      </c>
      <c r="F107" s="339">
        <f t="shared" si="30"/>
        <v>3.1718033551947589E-4</v>
      </c>
      <c r="G107" s="338">
        <f t="shared" si="31"/>
        <v>1</v>
      </c>
      <c r="H107" s="339">
        <f t="shared" si="32"/>
        <v>0</v>
      </c>
      <c r="I107" s="337">
        <f t="shared" si="33"/>
        <v>58308.084741974788</v>
      </c>
      <c r="J107" s="340">
        <f t="shared" si="34"/>
        <v>1.5707791765145458</v>
      </c>
      <c r="K107" s="348">
        <f t="shared" si="35"/>
        <v>1.3381515190105717</v>
      </c>
      <c r="L107" s="349">
        <f t="shared" si="36"/>
        <v>0.72680758055445971</v>
      </c>
      <c r="M107" s="337">
        <f t="shared" si="37"/>
        <v>1.0000132589563975</v>
      </c>
      <c r="N107" s="340">
        <f t="shared" si="38"/>
        <v>5.1495261722202378E-3</v>
      </c>
      <c r="O107" s="341">
        <f t="shared" si="39"/>
        <v>1.0000067171454288</v>
      </c>
      <c r="P107" s="342">
        <f t="shared" si="40"/>
        <v>8.1087539897352623E-3</v>
      </c>
      <c r="Q107" s="343">
        <f t="shared" si="41"/>
        <v>4.5941904540186123</v>
      </c>
      <c r="R107" s="344">
        <f t="shared" si="42"/>
        <v>-54.881920467082722</v>
      </c>
      <c r="S107" s="346">
        <f t="shared" si="43"/>
        <v>125.11807953291728</v>
      </c>
      <c r="U107" s="319">
        <f t="shared" si="50"/>
        <v>1000000000</v>
      </c>
      <c r="V107" s="319">
        <f t="shared" si="51"/>
        <v>28840122.090000004</v>
      </c>
      <c r="X107" s="345">
        <f t="shared" si="44"/>
        <v>4.9226395380597623</v>
      </c>
      <c r="Y107" s="346">
        <f t="shared" si="45"/>
        <v>-48.651056649185605</v>
      </c>
      <c r="AA107" s="345">
        <f t="shared" si="46"/>
        <v>32.895179784891234</v>
      </c>
      <c r="AB107" s="346">
        <f t="shared" si="47"/>
        <v>-6.2308638178971174</v>
      </c>
      <c r="AD107">
        <f t="shared" si="52"/>
        <v>0</v>
      </c>
      <c r="AE107">
        <f t="shared" si="53"/>
        <v>0</v>
      </c>
    </row>
    <row r="108" spans="1:31" x14ac:dyDescent="0.2">
      <c r="A108" s="347">
        <v>5432.85</v>
      </c>
      <c r="B108" s="364">
        <f t="shared" si="49"/>
        <v>5.4328500000000002</v>
      </c>
      <c r="C108" s="337">
        <f t="shared" si="27"/>
        <v>1.005237546089935</v>
      </c>
      <c r="D108" s="338">
        <f t="shared" si="28"/>
        <v>0.10212529449803105</v>
      </c>
      <c r="E108" s="338">
        <f t="shared" si="29"/>
        <v>1.0000000514802758</v>
      </c>
      <c r="F108" s="339">
        <f t="shared" si="30"/>
        <v>3.2087465960430977E-4</v>
      </c>
      <c r="G108" s="338">
        <f t="shared" si="31"/>
        <v>1</v>
      </c>
      <c r="H108" s="339">
        <f t="shared" si="32"/>
        <v>0</v>
      </c>
      <c r="I108" s="337">
        <f t="shared" si="33"/>
        <v>58987.221978170899</v>
      </c>
      <c r="J108" s="340">
        <f t="shared" si="34"/>
        <v>1.5707793739707678</v>
      </c>
      <c r="K108" s="348">
        <f t="shared" si="35"/>
        <v>1.3450556720651212</v>
      </c>
      <c r="L108" s="349">
        <f t="shared" si="36"/>
        <v>0.73256168325002347</v>
      </c>
      <c r="M108" s="337">
        <f t="shared" si="37"/>
        <v>1.0000135696176018</v>
      </c>
      <c r="N108" s="340">
        <f t="shared" si="38"/>
        <v>5.2095036535465067E-3</v>
      </c>
      <c r="O108" s="341">
        <f t="shared" si="39"/>
        <v>1.0000068745388309</v>
      </c>
      <c r="P108" s="342">
        <f t="shared" si="40"/>
        <v>8.2032006575157492E-3</v>
      </c>
      <c r="Q108" s="343">
        <f t="shared" si="41"/>
        <v>4.5372689228656107</v>
      </c>
      <c r="R108" s="344">
        <f t="shared" si="42"/>
        <v>-54.627790995322698</v>
      </c>
      <c r="S108" s="346">
        <f t="shared" si="43"/>
        <v>125.3722090046773</v>
      </c>
      <c r="U108" s="319">
        <f t="shared" si="50"/>
        <v>1000000000</v>
      </c>
      <c r="V108" s="319">
        <f t="shared" si="51"/>
        <v>29515859.122500002</v>
      </c>
      <c r="X108" s="345">
        <f t="shared" si="44"/>
        <v>4.8667528734692498</v>
      </c>
      <c r="Y108" s="346">
        <f t="shared" si="45"/>
        <v>-48.324818619426146</v>
      </c>
      <c r="AA108" s="345">
        <f t="shared" si="46"/>
        <v>32.894144918328742</v>
      </c>
      <c r="AB108" s="346">
        <f t="shared" si="47"/>
        <v>-6.3029723758965517</v>
      </c>
      <c r="AD108">
        <f t="shared" si="52"/>
        <v>0</v>
      </c>
      <c r="AE108">
        <f t="shared" si="53"/>
        <v>0</v>
      </c>
    </row>
    <row r="109" spans="1:31" x14ac:dyDescent="0.2">
      <c r="A109" s="347">
        <v>5495.4</v>
      </c>
      <c r="B109" s="364">
        <f t="shared" si="49"/>
        <v>5.4954000000000001</v>
      </c>
      <c r="C109" s="337">
        <f t="shared" si="27"/>
        <v>1.0053585199013597</v>
      </c>
      <c r="D109" s="338">
        <f t="shared" si="28"/>
        <v>0.10329279446514694</v>
      </c>
      <c r="E109" s="338">
        <f t="shared" si="29"/>
        <v>1.0000000526725148</v>
      </c>
      <c r="F109" s="339">
        <f t="shared" si="30"/>
        <v>3.2456898368038494E-4</v>
      </c>
      <c r="G109" s="338">
        <f t="shared" si="31"/>
        <v>1</v>
      </c>
      <c r="H109" s="339">
        <f t="shared" si="32"/>
        <v>0</v>
      </c>
      <c r="I109" s="337">
        <f t="shared" si="33"/>
        <v>59666.359214369244</v>
      </c>
      <c r="J109" s="340">
        <f t="shared" si="34"/>
        <v>1.5707795669319988</v>
      </c>
      <c r="K109" s="348">
        <f t="shared" si="35"/>
        <v>1.3520039038122735</v>
      </c>
      <c r="L109" s="349">
        <f t="shared" si="36"/>
        <v>0.73825682982072449</v>
      </c>
      <c r="M109" s="337">
        <f t="shared" si="37"/>
        <v>1.000013883876151</v>
      </c>
      <c r="N109" s="340">
        <f t="shared" si="38"/>
        <v>5.2694810973921832E-3</v>
      </c>
      <c r="O109" s="341">
        <f t="shared" si="39"/>
        <v>1.0000070337551985</v>
      </c>
      <c r="P109" s="342">
        <f t="shared" si="40"/>
        <v>8.2976473536149464E-3</v>
      </c>
      <c r="Q109" s="343">
        <f t="shared" si="41"/>
        <v>4.4815414008086583</v>
      </c>
      <c r="R109" s="344">
        <f t="shared" si="42"/>
        <v>-54.377023191684195</v>
      </c>
      <c r="S109" s="346">
        <f t="shared" si="43"/>
        <v>125.6229768083158</v>
      </c>
      <c r="U109" s="319">
        <f t="shared" si="50"/>
        <v>1000000000</v>
      </c>
      <c r="V109" s="319">
        <f t="shared" si="51"/>
        <v>30199421.159999996</v>
      </c>
      <c r="X109" s="345">
        <f t="shared" si="44"/>
        <v>4.8120719515092985</v>
      </c>
      <c r="Y109" s="346">
        <f t="shared" si="45"/>
        <v>-48.001958267110133</v>
      </c>
      <c r="AA109" s="345">
        <f t="shared" si="46"/>
        <v>32.893098318231736</v>
      </c>
      <c r="AB109" s="346">
        <f t="shared" si="47"/>
        <v>-6.3750649245740592</v>
      </c>
      <c r="AD109">
        <f t="shared" si="52"/>
        <v>0</v>
      </c>
      <c r="AE109">
        <f t="shared" si="53"/>
        <v>0</v>
      </c>
    </row>
    <row r="110" spans="1:31" x14ac:dyDescent="0.2">
      <c r="A110" s="347">
        <v>5559.4</v>
      </c>
      <c r="B110" s="364">
        <f t="shared" si="49"/>
        <v>5.5593999999999992</v>
      </c>
      <c r="C110" s="337">
        <f t="shared" si="27"/>
        <v>1.0054837160940624</v>
      </c>
      <c r="D110" s="338">
        <f t="shared" si="28"/>
        <v>0.10448706633048414</v>
      </c>
      <c r="E110" s="338">
        <f t="shared" si="29"/>
        <v>1.0000000539065181</v>
      </c>
      <c r="F110" s="339">
        <f t="shared" si="30"/>
        <v>3.2834894755400901E-4</v>
      </c>
      <c r="G110" s="338">
        <f t="shared" si="31"/>
        <v>1</v>
      </c>
      <c r="H110" s="339">
        <f t="shared" si="32"/>
        <v>0</v>
      </c>
      <c r="I110" s="337">
        <f t="shared" si="33"/>
        <v>60361.239839738308</v>
      </c>
      <c r="J110" s="340">
        <f t="shared" si="34"/>
        <v>1.5707797598721047</v>
      </c>
      <c r="K110" s="348">
        <f t="shared" si="35"/>
        <v>1.3591581237960413</v>
      </c>
      <c r="L110" s="349">
        <f t="shared" si="36"/>
        <v>0.74402353700547297</v>
      </c>
      <c r="M110" s="337">
        <f t="shared" si="37"/>
        <v>1.0000142091430659</v>
      </c>
      <c r="N110" s="340">
        <f t="shared" si="38"/>
        <v>5.3308488663995623E-3</v>
      </c>
      <c r="O110" s="341">
        <f t="shared" si="39"/>
        <v>1.00000719854929</v>
      </c>
      <c r="P110" s="342">
        <f t="shared" si="40"/>
        <v>8.3942834911851887E-3</v>
      </c>
      <c r="Q110" s="343">
        <f t="shared" si="41"/>
        <v>4.4257241048269558</v>
      </c>
      <c r="R110" s="344">
        <f t="shared" si="42"/>
        <v>-54.123889381166705</v>
      </c>
      <c r="S110" s="346">
        <f t="shared" si="43"/>
        <v>125.87611061883329</v>
      </c>
      <c r="U110" s="319">
        <f t="shared" si="50"/>
        <v>1000000000</v>
      </c>
      <c r="V110" s="319">
        <f t="shared" si="51"/>
        <v>30906928.359999996</v>
      </c>
      <c r="X110" s="345">
        <f t="shared" si="44"/>
        <v>4.757337653140298</v>
      </c>
      <c r="Y110" s="346">
        <f t="shared" si="45"/>
        <v>-47.675077452178797</v>
      </c>
      <c r="AA110" s="345">
        <f t="shared" si="46"/>
        <v>32.892015320619038</v>
      </c>
      <c r="AB110" s="346">
        <f t="shared" si="47"/>
        <v>-6.4488119289879151</v>
      </c>
      <c r="AD110">
        <f t="shared" si="52"/>
        <v>0</v>
      </c>
      <c r="AE110">
        <f t="shared" si="53"/>
        <v>0</v>
      </c>
    </row>
    <row r="111" spans="1:31" x14ac:dyDescent="0.2">
      <c r="A111" s="347">
        <v>5623.4</v>
      </c>
      <c r="B111" s="364">
        <f t="shared" si="49"/>
        <v>5.6233999999999993</v>
      </c>
      <c r="C111" s="337">
        <f t="shared" si="27"/>
        <v>1.005610346035118</v>
      </c>
      <c r="D111" s="338">
        <f t="shared" si="28"/>
        <v>0.10568103912470433</v>
      </c>
      <c r="E111" s="338">
        <f t="shared" si="29"/>
        <v>1.0000000551548094</v>
      </c>
      <c r="F111" s="339">
        <f t="shared" si="30"/>
        <v>3.3212891141825017E-4</v>
      </c>
      <c r="G111" s="338">
        <f t="shared" si="31"/>
        <v>1</v>
      </c>
      <c r="H111" s="339">
        <f t="shared" si="32"/>
        <v>0</v>
      </c>
      <c r="I111" s="337">
        <f t="shared" si="33"/>
        <v>61056.120465109569</v>
      </c>
      <c r="J111" s="340">
        <f t="shared" si="34"/>
        <v>1.5707799484205023</v>
      </c>
      <c r="K111" s="348">
        <f t="shared" si="35"/>
        <v>1.3663570682729209</v>
      </c>
      <c r="L111" s="349">
        <f t="shared" si="36"/>
        <v>0.74972966602829383</v>
      </c>
      <c r="M111" s="337">
        <f t="shared" si="37"/>
        <v>1.000014538176035</v>
      </c>
      <c r="N111" s="340">
        <f t="shared" si="38"/>
        <v>5.3922165952546008E-3</v>
      </c>
      <c r="O111" s="341">
        <f t="shared" si="39"/>
        <v>1.0000073652518711</v>
      </c>
      <c r="P111" s="342">
        <f t="shared" si="40"/>
        <v>8.4909196590926828E-3</v>
      </c>
      <c r="Q111" s="343">
        <f t="shared" si="41"/>
        <v>4.3710893572194083</v>
      </c>
      <c r="R111" s="344">
        <f t="shared" si="42"/>
        <v>-53.874209055961323</v>
      </c>
      <c r="S111" s="346">
        <f t="shared" si="43"/>
        <v>126.12579094403867</v>
      </c>
      <c r="U111" s="319">
        <f t="shared" si="50"/>
        <v>1000000000</v>
      </c>
      <c r="V111" s="319">
        <f t="shared" si="51"/>
        <v>31622627.559999995</v>
      </c>
      <c r="X111" s="345">
        <f t="shared" si="44"/>
        <v>4.7037981688462986</v>
      </c>
      <c r="Y111" s="346">
        <f t="shared" si="45"/>
        <v>-47.351667256333613</v>
      </c>
      <c r="AA111" s="345">
        <f t="shared" si="46"/>
        <v>32.890920057305486</v>
      </c>
      <c r="AB111" s="346">
        <f t="shared" si="47"/>
        <v>-6.5225417996277066</v>
      </c>
      <c r="AD111">
        <f t="shared" si="52"/>
        <v>0</v>
      </c>
      <c r="AE111">
        <f t="shared" si="53"/>
        <v>0</v>
      </c>
    </row>
    <row r="112" spans="1:31" x14ac:dyDescent="0.2">
      <c r="A112" s="347">
        <v>5688.9</v>
      </c>
      <c r="B112" s="364">
        <f t="shared" si="49"/>
        <v>5.6888999999999994</v>
      </c>
      <c r="C112" s="337">
        <f t="shared" si="27"/>
        <v>1.0057414278476131</v>
      </c>
      <c r="D112" s="338">
        <f t="shared" si="28"/>
        <v>0.10690268255506424</v>
      </c>
      <c r="E112" s="338">
        <f t="shared" si="29"/>
        <v>1.0000000564471518</v>
      </c>
      <c r="F112" s="339">
        <f t="shared" si="30"/>
        <v>3.359974681757313E-4</v>
      </c>
      <c r="G112" s="338">
        <f t="shared" si="31"/>
        <v>1</v>
      </c>
      <c r="H112" s="339">
        <f t="shared" si="32"/>
        <v>0</v>
      </c>
      <c r="I112" s="337">
        <f t="shared" si="33"/>
        <v>61767.287355140179</v>
      </c>
      <c r="J112" s="340">
        <f t="shared" si="34"/>
        <v>1.5707801369953625</v>
      </c>
      <c r="K112" s="348">
        <f t="shared" si="35"/>
        <v>1.3737703134006931</v>
      </c>
      <c r="L112" s="349">
        <f t="shared" si="36"/>
        <v>0.75550741715576542</v>
      </c>
      <c r="M112" s="337">
        <f t="shared" si="37"/>
        <v>1.0000148788201992</v>
      </c>
      <c r="N112" s="340">
        <f t="shared" si="38"/>
        <v>5.4550225881974095E-3</v>
      </c>
      <c r="O112" s="341">
        <f t="shared" si="39"/>
        <v>1.0000075378376672</v>
      </c>
      <c r="P112" s="342">
        <f t="shared" si="40"/>
        <v>8.5898207689619685E-3</v>
      </c>
      <c r="Q112" s="343">
        <f t="shared" si="41"/>
        <v>4.3163646990974271</v>
      </c>
      <c r="R112" s="344">
        <f t="shared" si="42"/>
        <v>-53.622217600698818</v>
      </c>
      <c r="S112" s="346">
        <f t="shared" si="43"/>
        <v>126.37778239930118</v>
      </c>
      <c r="U112" s="319">
        <f t="shared" si="50"/>
        <v>1000000000</v>
      </c>
      <c r="V112" s="319">
        <f t="shared" si="51"/>
        <v>32363583.209999997</v>
      </c>
      <c r="X112" s="345">
        <f t="shared" si="44"/>
        <v>4.6502071348301532</v>
      </c>
      <c r="Y112" s="346">
        <f t="shared" si="45"/>
        <v>-47.024235824145741</v>
      </c>
      <c r="AA112" s="345">
        <f t="shared" si="46"/>
        <v>32.889786433199653</v>
      </c>
      <c r="AB112" s="346">
        <f t="shared" si="47"/>
        <v>-6.5979817765530759</v>
      </c>
      <c r="AD112">
        <f t="shared" si="52"/>
        <v>0</v>
      </c>
      <c r="AE112">
        <f t="shared" si="53"/>
        <v>0</v>
      </c>
    </row>
    <row r="113" spans="1:31" x14ac:dyDescent="0.2">
      <c r="A113" s="347">
        <v>5754.4</v>
      </c>
      <c r="B113" s="364">
        <f t="shared" si="49"/>
        <v>5.7543999999999995</v>
      </c>
      <c r="C113" s="337">
        <f t="shared" si="27"/>
        <v>1.0058740102488477</v>
      </c>
      <c r="D113" s="338">
        <f t="shared" si="28"/>
        <v>0.10812400576260159</v>
      </c>
      <c r="E113" s="338">
        <f t="shared" si="29"/>
        <v>1.0000000577544601</v>
      </c>
      <c r="F113" s="339">
        <f t="shared" si="30"/>
        <v>3.3986602492315553E-4</v>
      </c>
      <c r="G113" s="338">
        <f t="shared" si="31"/>
        <v>1</v>
      </c>
      <c r="H113" s="339">
        <f t="shared" si="32"/>
        <v>0</v>
      </c>
      <c r="I113" s="337">
        <f t="shared" si="33"/>
        <v>62478.454245172921</v>
      </c>
      <c r="J113" s="340">
        <f t="shared" si="34"/>
        <v>1.5707803212772806</v>
      </c>
      <c r="K113" s="348">
        <f t="shared" si="35"/>
        <v>1.3812289251309957</v>
      </c>
      <c r="L113" s="349">
        <f t="shared" si="36"/>
        <v>0.76122295786544958</v>
      </c>
      <c r="M113" s="337">
        <f t="shared" si="37"/>
        <v>1.0000152234090123</v>
      </c>
      <c r="N113" s="340">
        <f t="shared" si="38"/>
        <v>5.5178285381041357E-3</v>
      </c>
      <c r="O113" s="341">
        <f t="shared" si="39"/>
        <v>1.0000077124224904</v>
      </c>
      <c r="P113" s="342">
        <f t="shared" si="40"/>
        <v>8.6887219113471904E-3</v>
      </c>
      <c r="Q113" s="343">
        <f t="shared" si="41"/>
        <v>4.2628110513478141</v>
      </c>
      <c r="R113" s="344">
        <f t="shared" si="42"/>
        <v>-53.373771945835472</v>
      </c>
      <c r="S113" s="346">
        <f t="shared" si="43"/>
        <v>126.62622805416453</v>
      </c>
      <c r="U113" s="319">
        <f t="shared" si="50"/>
        <v>1000000000</v>
      </c>
      <c r="V113" s="319">
        <f t="shared" si="51"/>
        <v>33113119.359999996</v>
      </c>
      <c r="X113" s="345">
        <f t="shared" si="44"/>
        <v>4.5977999387170367</v>
      </c>
      <c r="Y113" s="346">
        <f t="shared" si="45"/>
        <v>-46.700368537909682</v>
      </c>
      <c r="AA113" s="345">
        <f t="shared" si="46"/>
        <v>32.888639981563159</v>
      </c>
      <c r="AB113" s="346">
        <f t="shared" si="47"/>
        <v>-6.6734034079257887</v>
      </c>
      <c r="AD113">
        <f t="shared" si="52"/>
        <v>0</v>
      </c>
      <c r="AE113">
        <f t="shared" si="53"/>
        <v>0</v>
      </c>
    </row>
    <row r="114" spans="1:31" x14ac:dyDescent="0.2">
      <c r="A114" s="347">
        <v>5821.4</v>
      </c>
      <c r="B114" s="364">
        <f t="shared" si="49"/>
        <v>5.8213999999999997</v>
      </c>
      <c r="C114" s="337">
        <f t="shared" si="27"/>
        <v>1.006011180798897</v>
      </c>
      <c r="D114" s="338">
        <f t="shared" si="28"/>
        <v>0.10937296323145153</v>
      </c>
      <c r="E114" s="338">
        <f t="shared" si="29"/>
        <v>1.0000000591071907</v>
      </c>
      <c r="F114" s="339">
        <f t="shared" si="30"/>
        <v>3.4382317456266678E-4</v>
      </c>
      <c r="G114" s="338">
        <f t="shared" si="31"/>
        <v>1</v>
      </c>
      <c r="H114" s="339">
        <f t="shared" si="32"/>
        <v>0</v>
      </c>
      <c r="I114" s="337">
        <f t="shared" si="33"/>
        <v>63205.907399865049</v>
      </c>
      <c r="J114" s="340">
        <f t="shared" si="34"/>
        <v>1.5707805054889272</v>
      </c>
      <c r="K114" s="348">
        <f t="shared" si="35"/>
        <v>1.3889045196852303</v>
      </c>
      <c r="L114" s="349">
        <f t="shared" si="36"/>
        <v>0.76700568389557777</v>
      </c>
      <c r="M114" s="337">
        <f t="shared" si="37"/>
        <v>1.0000155799703543</v>
      </c>
      <c r="N114" s="340">
        <f t="shared" si="38"/>
        <v>5.5820727471649874E-3</v>
      </c>
      <c r="O114" s="341">
        <f t="shared" si="39"/>
        <v>1.0000078930736749</v>
      </c>
      <c r="P114" s="342">
        <f t="shared" si="40"/>
        <v>8.7898879994216857E-3</v>
      </c>
      <c r="Q114" s="343">
        <f t="shared" si="41"/>
        <v>4.2092086336115928</v>
      </c>
      <c r="R114" s="344">
        <f t="shared" si="42"/>
        <v>-53.123267280189381</v>
      </c>
      <c r="S114" s="346">
        <f t="shared" si="43"/>
        <v>126.87673271981062</v>
      </c>
      <c r="U114" s="319">
        <f t="shared" si="50"/>
        <v>1000000000</v>
      </c>
      <c r="V114" s="319">
        <f t="shared" si="51"/>
        <v>33888697.959999993</v>
      </c>
      <c r="X114" s="345">
        <f t="shared" si="44"/>
        <v>4.5453834881279862</v>
      </c>
      <c r="Y114" s="346">
        <f t="shared" si="45"/>
        <v>-46.372734218515753</v>
      </c>
      <c r="AA114" s="345">
        <f t="shared" si="46"/>
        <v>32.887454014415979</v>
      </c>
      <c r="AB114" s="346">
        <f t="shared" si="47"/>
        <v>-6.7505330616736376</v>
      </c>
      <c r="AD114">
        <f t="shared" si="52"/>
        <v>0</v>
      </c>
      <c r="AE114">
        <f t="shared" si="53"/>
        <v>0</v>
      </c>
    </row>
    <row r="115" spans="1:31" x14ac:dyDescent="0.2">
      <c r="A115" s="347">
        <v>5888.4</v>
      </c>
      <c r="B115" s="364">
        <f t="shared" si="49"/>
        <v>5.8883999999999999</v>
      </c>
      <c r="C115" s="337">
        <f t="shared" si="27"/>
        <v>1.0061499201912028</v>
      </c>
      <c r="D115" s="338">
        <f t="shared" si="28"/>
        <v>0.11062157820664775</v>
      </c>
      <c r="E115" s="338">
        <f t="shared" si="29"/>
        <v>1.0000000604755801</v>
      </c>
      <c r="F115" s="339">
        <f t="shared" si="30"/>
        <v>3.4778032419141016E-4</v>
      </c>
      <c r="G115" s="338">
        <f t="shared" si="31"/>
        <v>1</v>
      </c>
      <c r="H115" s="339">
        <f t="shared" si="32"/>
        <v>0</v>
      </c>
      <c r="I115" s="337">
        <f t="shared" si="33"/>
        <v>63933.360554559273</v>
      </c>
      <c r="J115" s="340">
        <f t="shared" si="34"/>
        <v>1.570780685508542</v>
      </c>
      <c r="K115" s="348">
        <f t="shared" si="35"/>
        <v>1.3966260476913708</v>
      </c>
      <c r="L115" s="349">
        <f t="shared" si="36"/>
        <v>0.77272465748625074</v>
      </c>
      <c r="M115" s="337">
        <f t="shared" si="37"/>
        <v>1.0000159406590758</v>
      </c>
      <c r="N115" s="340">
        <f t="shared" si="38"/>
        <v>5.6463169101474125E-3</v>
      </c>
      <c r="O115" s="341">
        <f t="shared" si="39"/>
        <v>1.0000080758165251</v>
      </c>
      <c r="P115" s="342">
        <f t="shared" si="40"/>
        <v>8.891054122310612E-3</v>
      </c>
      <c r="Q115" s="343">
        <f t="shared" si="41"/>
        <v>4.156763811953514</v>
      </c>
      <c r="R115" s="344">
        <f t="shared" si="42"/>
        <v>-52.87639549599055</v>
      </c>
      <c r="S115" s="346">
        <f t="shared" si="43"/>
        <v>127.12360450400945</v>
      </c>
      <c r="U115" s="319">
        <f t="shared" si="50"/>
        <v>1000000000</v>
      </c>
      <c r="V115" s="319">
        <f t="shared" si="51"/>
        <v>34673254.559999995</v>
      </c>
      <c r="X115" s="345">
        <f t="shared" si="44"/>
        <v>4.4941380336740817</v>
      </c>
      <c r="Y115" s="346">
        <f t="shared" si="45"/>
        <v>-46.048752402014614</v>
      </c>
      <c r="AA115" s="345">
        <f t="shared" si="46"/>
        <v>32.886254647211814</v>
      </c>
      <c r="AB115" s="346">
        <f t="shared" si="47"/>
        <v>-6.8276430939759321</v>
      </c>
      <c r="AD115">
        <f t="shared" si="52"/>
        <v>0</v>
      </c>
      <c r="AE115">
        <f t="shared" si="53"/>
        <v>0</v>
      </c>
    </row>
    <row r="116" spans="1:31" x14ac:dyDescent="0.2">
      <c r="A116" s="347">
        <v>5957</v>
      </c>
      <c r="B116" s="364">
        <f t="shared" si="49"/>
        <v>5.9569999999999999</v>
      </c>
      <c r="C116" s="337">
        <f t="shared" si="27"/>
        <v>1.006293597572236</v>
      </c>
      <c r="D116" s="338">
        <f t="shared" si="28"/>
        <v>0.11189965207602284</v>
      </c>
      <c r="E116" s="338">
        <f t="shared" si="29"/>
        <v>1.0000000618928717</v>
      </c>
      <c r="F116" s="339">
        <f t="shared" si="30"/>
        <v>3.5183197290447924E-4</v>
      </c>
      <c r="G116" s="338">
        <f t="shared" si="31"/>
        <v>1</v>
      </c>
      <c r="H116" s="339">
        <f t="shared" si="32"/>
        <v>0</v>
      </c>
      <c r="I116" s="337">
        <f t="shared" si="33"/>
        <v>64678.185724890085</v>
      </c>
      <c r="J116" s="340">
        <f t="shared" si="34"/>
        <v>1.5707808656314637</v>
      </c>
      <c r="K116" s="348">
        <f t="shared" si="35"/>
        <v>1.4045787711519506</v>
      </c>
      <c r="L116" s="349">
        <f t="shared" si="36"/>
        <v>0.77851486001093095</v>
      </c>
      <c r="M116" s="337">
        <f t="shared" si="37"/>
        <v>1.0000163142376579</v>
      </c>
      <c r="N116" s="340">
        <f t="shared" si="38"/>
        <v>5.7120952138006633E-3</v>
      </c>
      <c r="O116" s="341">
        <f t="shared" si="39"/>
        <v>1.0000082650905879</v>
      </c>
      <c r="P116" s="342">
        <f t="shared" si="40"/>
        <v>8.9946361891015836E-3</v>
      </c>
      <c r="Q116" s="343">
        <f t="shared" si="41"/>
        <v>4.1042320172325635</v>
      </c>
      <c r="R116" s="344">
        <f t="shared" si="42"/>
        <v>-52.627351379492048</v>
      </c>
      <c r="S116" s="346">
        <f t="shared" si="43"/>
        <v>127.37264862050796</v>
      </c>
      <c r="U116" s="319">
        <f t="shared" si="50"/>
        <v>1000000000</v>
      </c>
      <c r="V116" s="319">
        <f t="shared" si="51"/>
        <v>35485849</v>
      </c>
      <c r="X116" s="345">
        <f t="shared" si="44"/>
        <v>4.4428481199877661</v>
      </c>
      <c r="Y116" s="346">
        <f t="shared" si="45"/>
        <v>-45.720777373915737</v>
      </c>
      <c r="AA116" s="345">
        <f t="shared" si="46"/>
        <v>32.885012766177169</v>
      </c>
      <c r="AB116" s="346">
        <f t="shared" si="47"/>
        <v>-6.9065740055763083</v>
      </c>
      <c r="AD116">
        <f t="shared" si="52"/>
        <v>0</v>
      </c>
      <c r="AE116">
        <f t="shared" si="53"/>
        <v>0</v>
      </c>
    </row>
    <row r="117" spans="1:31" x14ac:dyDescent="0.2">
      <c r="A117" s="347">
        <v>6025.6</v>
      </c>
      <c r="B117" s="364">
        <f t="shared" si="49"/>
        <v>6.0256000000000007</v>
      </c>
      <c r="C117" s="337">
        <f t="shared" si="27"/>
        <v>1.0064389182356208</v>
      </c>
      <c r="D117" s="338">
        <f t="shared" si="28"/>
        <v>0.11317735894741801</v>
      </c>
      <c r="E117" s="338">
        <f t="shared" si="29"/>
        <v>1.0000000633265793</v>
      </c>
      <c r="F117" s="339">
        <f t="shared" si="30"/>
        <v>3.5588362160599712E-4</v>
      </c>
      <c r="G117" s="338">
        <f t="shared" si="31"/>
        <v>1</v>
      </c>
      <c r="H117" s="339">
        <f t="shared" si="32"/>
        <v>0</v>
      </c>
      <c r="I117" s="337">
        <f t="shared" si="33"/>
        <v>65423.010895222957</v>
      </c>
      <c r="J117" s="340">
        <f t="shared" si="34"/>
        <v>1.5707810416530734</v>
      </c>
      <c r="K117" s="348">
        <f t="shared" si="35"/>
        <v>1.4125780539976016</v>
      </c>
      <c r="L117" s="349">
        <f t="shared" si="36"/>
        <v>0.78423967403424821</v>
      </c>
      <c r="M117" s="337">
        <f t="shared" si="37"/>
        <v>1.0000166921430926</v>
      </c>
      <c r="N117" s="340">
        <f t="shared" si="38"/>
        <v>5.7778734680233954E-3</v>
      </c>
      <c r="O117" s="341">
        <f t="shared" si="39"/>
        <v>1.0000084565574443</v>
      </c>
      <c r="P117" s="342">
        <f t="shared" si="40"/>
        <v>9.0982182932394812E-3</v>
      </c>
      <c r="Q117" s="343">
        <f t="shared" si="41"/>
        <v>4.0528459555946768</v>
      </c>
      <c r="R117" s="344">
        <f t="shared" si="42"/>
        <v>-52.382032485039723</v>
      </c>
      <c r="S117" s="346">
        <f t="shared" si="43"/>
        <v>127.61796751496027</v>
      </c>
      <c r="U117" s="319">
        <f t="shared" si="50"/>
        <v>1000000000</v>
      </c>
      <c r="V117" s="319">
        <f t="shared" si="51"/>
        <v>36307855.360000007</v>
      </c>
      <c r="X117" s="345">
        <f t="shared" si="44"/>
        <v>4.3927179632828137</v>
      </c>
      <c r="Y117" s="346">
        <f t="shared" si="45"/>
        <v>-45.39654859315791</v>
      </c>
      <c r="AA117" s="345">
        <f t="shared" si="46"/>
        <v>32.883756861244244</v>
      </c>
      <c r="AB117" s="346">
        <f t="shared" si="47"/>
        <v>-6.9854838918818034</v>
      </c>
      <c r="AD117">
        <f t="shared" si="52"/>
        <v>0</v>
      </c>
      <c r="AE117">
        <f t="shared" si="53"/>
        <v>0</v>
      </c>
    </row>
    <row r="118" spans="1:31" x14ac:dyDescent="0.2">
      <c r="A118" s="347">
        <v>6095.8</v>
      </c>
      <c r="B118" s="364">
        <f t="shared" si="49"/>
        <v>6.0958000000000006</v>
      </c>
      <c r="C118" s="337">
        <f t="shared" si="27"/>
        <v>1.0065893287798888</v>
      </c>
      <c r="D118" s="338">
        <f t="shared" si="28"/>
        <v>0.11448448243915038</v>
      </c>
      <c r="E118" s="338">
        <f t="shared" si="29"/>
        <v>1.000000064810721</v>
      </c>
      <c r="F118" s="339">
        <f t="shared" si="30"/>
        <v>3.6002976939049683E-4</v>
      </c>
      <c r="G118" s="338">
        <f t="shared" si="31"/>
        <v>1</v>
      </c>
      <c r="H118" s="339">
        <f t="shared" si="32"/>
        <v>0</v>
      </c>
      <c r="I118" s="337">
        <f t="shared" si="33"/>
        <v>66185.208081192453</v>
      </c>
      <c r="J118" s="340">
        <f t="shared" si="34"/>
        <v>1.5707812176786904</v>
      </c>
      <c r="K118" s="348">
        <f t="shared" si="35"/>
        <v>1.4208112895038691</v>
      </c>
      <c r="L118" s="349">
        <f t="shared" si="36"/>
        <v>0.79003108168577074</v>
      </c>
      <c r="M118" s="337">
        <f t="shared" si="37"/>
        <v>1.0000170833420492</v>
      </c>
      <c r="N118" s="340">
        <f t="shared" si="38"/>
        <v>5.8451858571664187E-3</v>
      </c>
      <c r="O118" s="341">
        <f t="shared" si="39"/>
        <v>1.0000086547601243</v>
      </c>
      <c r="P118" s="342">
        <f t="shared" si="40"/>
        <v>9.2042163456240288E-3</v>
      </c>
      <c r="Q118" s="343">
        <f t="shared" si="41"/>
        <v>4.0014135211500417</v>
      </c>
      <c r="R118" s="344">
        <f t="shared" si="42"/>
        <v>-52.1348044138646</v>
      </c>
      <c r="S118" s="346">
        <f t="shared" si="43"/>
        <v>127.8651955861354</v>
      </c>
      <c r="U118" s="319">
        <f t="shared" si="50"/>
        <v>1000000000</v>
      </c>
      <c r="V118" s="319">
        <f t="shared" si="51"/>
        <v>37158777.640000001</v>
      </c>
      <c r="X118" s="345">
        <f t="shared" si="44"/>
        <v>4.3425852315954501</v>
      </c>
      <c r="Y118" s="346">
        <f t="shared" si="45"/>
        <v>-45.06859217824293</v>
      </c>
      <c r="AA118" s="345">
        <f t="shared" si="46"/>
        <v>32.882457158486972</v>
      </c>
      <c r="AB118" s="346">
        <f t="shared" si="47"/>
        <v>-7.066212235621669</v>
      </c>
      <c r="AD118">
        <f t="shared" si="52"/>
        <v>0</v>
      </c>
      <c r="AE118">
        <f t="shared" si="53"/>
        <v>0</v>
      </c>
    </row>
    <row r="119" spans="1:31" x14ac:dyDescent="0.2">
      <c r="A119" s="347">
        <v>6166</v>
      </c>
      <c r="B119" s="364">
        <f t="shared" si="49"/>
        <v>6.1660000000000004</v>
      </c>
      <c r="C119" s="337">
        <f t="shared" si="27"/>
        <v>1.0067414586387102</v>
      </c>
      <c r="D119" s="338">
        <f t="shared" si="28"/>
        <v>0.11579121312110045</v>
      </c>
      <c r="E119" s="338">
        <f t="shared" si="29"/>
        <v>1.000000066312053</v>
      </c>
      <c r="F119" s="339">
        <f t="shared" si="30"/>
        <v>3.6417591716261826E-4</v>
      </c>
      <c r="G119" s="338">
        <f t="shared" si="31"/>
        <v>1</v>
      </c>
      <c r="H119" s="339">
        <f t="shared" si="32"/>
        <v>0</v>
      </c>
      <c r="I119" s="337">
        <f t="shared" si="33"/>
        <v>66947.405267163951</v>
      </c>
      <c r="J119" s="340">
        <f t="shared" si="34"/>
        <v>1.5707813896961988</v>
      </c>
      <c r="K119" s="348">
        <f t="shared" si="35"/>
        <v>1.4290916295746723</v>
      </c>
      <c r="L119" s="349">
        <f t="shared" si="36"/>
        <v>0.79575556717726048</v>
      </c>
      <c r="M119" s="337">
        <f t="shared" si="37"/>
        <v>1.0000174790720375</v>
      </c>
      <c r="N119" s="340">
        <f t="shared" si="38"/>
        <v>5.9124981933402999E-3</v>
      </c>
      <c r="O119" s="341">
        <f t="shared" si="39"/>
        <v>1.0000088552591166</v>
      </c>
      <c r="P119" s="342">
        <f t="shared" si="40"/>
        <v>9.3102144380289003E-3</v>
      </c>
      <c r="Q119" s="343">
        <f t="shared" si="41"/>
        <v>3.9511130300786883</v>
      </c>
      <c r="R119" s="344">
        <f t="shared" si="42"/>
        <v>-51.891387963288025</v>
      </c>
      <c r="S119" s="346">
        <f t="shared" si="43"/>
        <v>128.10861203671197</v>
      </c>
      <c r="U119" s="319">
        <f t="shared" si="50"/>
        <v>1000000000</v>
      </c>
      <c r="V119" s="319">
        <f t="shared" si="51"/>
        <v>38019556</v>
      </c>
      <c r="X119" s="345">
        <f t="shared" si="44"/>
        <v>4.2935991029254224</v>
      </c>
      <c r="Y119" s="346">
        <f t="shared" si="45"/>
        <v>-44.744469887975498</v>
      </c>
      <c r="AA119" s="345">
        <f t="shared" si="46"/>
        <v>32.881142796085648</v>
      </c>
      <c r="AB119" s="346">
        <f t="shared" si="47"/>
        <v>-7.1469180753125352</v>
      </c>
      <c r="AD119">
        <f t="shared" si="52"/>
        <v>0</v>
      </c>
      <c r="AE119">
        <f t="shared" si="53"/>
        <v>0</v>
      </c>
    </row>
    <row r="120" spans="1:31" x14ac:dyDescent="0.2">
      <c r="A120" s="347">
        <v>6237.8</v>
      </c>
      <c r="B120" s="364">
        <f t="shared" si="49"/>
        <v>6.2378</v>
      </c>
      <c r="C120" s="337">
        <f t="shared" si="27"/>
        <v>1.0068988335735278</v>
      </c>
      <c r="D120" s="338">
        <f t="shared" si="28"/>
        <v>0.11712731603262118</v>
      </c>
      <c r="E120" s="338">
        <f t="shared" si="29"/>
        <v>1.0000000678653862</v>
      </c>
      <c r="F120" s="339">
        <f t="shared" si="30"/>
        <v>3.6841656401630782E-4</v>
      </c>
      <c r="G120" s="338">
        <f t="shared" si="31"/>
        <v>1</v>
      </c>
      <c r="H120" s="339">
        <f t="shared" si="32"/>
        <v>0</v>
      </c>
      <c r="I120" s="337">
        <f t="shared" si="33"/>
        <v>67726.97446877214</v>
      </c>
      <c r="J120" s="340">
        <f t="shared" si="34"/>
        <v>1.5707815616292018</v>
      </c>
      <c r="K120" s="348">
        <f t="shared" si="35"/>
        <v>1.4376085741556999</v>
      </c>
      <c r="L120" s="349">
        <f t="shared" si="36"/>
        <v>0.80154211554752286</v>
      </c>
      <c r="M120" s="337">
        <f t="shared" si="37"/>
        <v>1.0000178885086226</v>
      </c>
      <c r="N120" s="340">
        <f t="shared" si="38"/>
        <v>5.9813446583849121E-3</v>
      </c>
      <c r="O120" s="341">
        <f t="shared" si="39"/>
        <v>1.000009062703322</v>
      </c>
      <c r="P120" s="342">
        <f t="shared" si="40"/>
        <v>9.4186284832509203E-3</v>
      </c>
      <c r="Q120" s="343">
        <f t="shared" si="41"/>
        <v>3.9008030672295533</v>
      </c>
      <c r="R120" s="344">
        <f t="shared" si="42"/>
        <v>-51.646319380249864</v>
      </c>
      <c r="S120" s="346">
        <f t="shared" si="43"/>
        <v>128.35368061975015</v>
      </c>
      <c r="U120" s="319">
        <f t="shared" si="50"/>
        <v>1000000000</v>
      </c>
      <c r="V120" s="319">
        <f t="shared" si="51"/>
        <v>38910148.840000004</v>
      </c>
      <c r="X120" s="345">
        <f t="shared" si="44"/>
        <v>4.2446486101361769</v>
      </c>
      <c r="Y120" s="346">
        <f t="shared" si="45"/>
        <v>-44.416879550953709</v>
      </c>
      <c r="AA120" s="345">
        <f t="shared" si="46"/>
        <v>32.879783326025759</v>
      </c>
      <c r="AB120" s="346">
        <f t="shared" si="47"/>
        <v>-7.2294398292961493</v>
      </c>
      <c r="AD120">
        <f t="shared" si="52"/>
        <v>0</v>
      </c>
      <c r="AE120">
        <f t="shared" si="53"/>
        <v>0</v>
      </c>
    </row>
    <row r="121" spans="1:31" x14ac:dyDescent="0.2">
      <c r="A121" s="347">
        <v>6309.6</v>
      </c>
      <c r="B121" s="364">
        <f t="shared" si="49"/>
        <v>6.3096000000000005</v>
      </c>
      <c r="C121" s="337">
        <f t="shared" si="27"/>
        <v>1.0070580054312683</v>
      </c>
      <c r="D121" s="338">
        <f t="shared" si="28"/>
        <v>0.11846299896898613</v>
      </c>
      <c r="E121" s="338">
        <f t="shared" si="29"/>
        <v>1.0000000694367024</v>
      </c>
      <c r="F121" s="339">
        <f t="shared" si="30"/>
        <v>3.7265721085674686E-4</v>
      </c>
      <c r="G121" s="338">
        <f t="shared" si="31"/>
        <v>1</v>
      </c>
      <c r="H121" s="339">
        <f t="shared" si="32"/>
        <v>0</v>
      </c>
      <c r="I121" s="337">
        <f t="shared" si="33"/>
        <v>68506.543670382278</v>
      </c>
      <c r="J121" s="340">
        <f t="shared" si="34"/>
        <v>1.5707817296491868</v>
      </c>
      <c r="K121" s="348">
        <f t="shared" si="35"/>
        <v>1.446173087905309</v>
      </c>
      <c r="L121" s="349">
        <f t="shared" si="36"/>
        <v>0.80726031541271526</v>
      </c>
      <c r="M121" s="337">
        <f t="shared" si="37"/>
        <v>1.0000183026851244</v>
      </c>
      <c r="N121" s="340">
        <f t="shared" si="38"/>
        <v>6.0501910667277127E-3</v>
      </c>
      <c r="O121" s="341">
        <f t="shared" si="39"/>
        <v>1.0000092725497489</v>
      </c>
      <c r="P121" s="342">
        <f t="shared" si="40"/>
        <v>9.5270425713132323E-3</v>
      </c>
      <c r="Q121" s="343">
        <f t="shared" si="41"/>
        <v>3.8516094789863486</v>
      </c>
      <c r="R121" s="344">
        <f t="shared" si="42"/>
        <v>-51.405142590295874</v>
      </c>
      <c r="S121" s="346">
        <f t="shared" si="43"/>
        <v>128.59485740970413</v>
      </c>
      <c r="U121" s="319">
        <f t="shared" si="50"/>
        <v>1000000000</v>
      </c>
      <c r="V121" s="319">
        <f t="shared" si="51"/>
        <v>39811052.160000004</v>
      </c>
      <c r="X121" s="345">
        <f t="shared" si="44"/>
        <v>4.1968297989766006</v>
      </c>
      <c r="Y121" s="346">
        <f t="shared" si="45"/>
        <v>-44.09320506736475</v>
      </c>
      <c r="AA121" s="345">
        <f t="shared" si="46"/>
        <v>32.878408548942126</v>
      </c>
      <c r="AB121" s="346">
        <f t="shared" si="47"/>
        <v>-7.311937522931137</v>
      </c>
      <c r="AD121">
        <f t="shared" si="52"/>
        <v>0</v>
      </c>
      <c r="AE121">
        <f t="shared" si="53"/>
        <v>0</v>
      </c>
    </row>
    <row r="122" spans="1:31" x14ac:dyDescent="0.2">
      <c r="A122" s="347">
        <v>6383.05</v>
      </c>
      <c r="B122" s="364">
        <f t="shared" si="49"/>
        <v>6.3830499999999999</v>
      </c>
      <c r="C122" s="337">
        <f t="shared" si="27"/>
        <v>1.0072226935884889</v>
      </c>
      <c r="D122" s="338">
        <f t="shared" si="28"/>
        <v>0.11982893724570029</v>
      </c>
      <c r="E122" s="338">
        <f t="shared" si="29"/>
        <v>1.0000000710627361</v>
      </c>
      <c r="F122" s="339">
        <f t="shared" si="30"/>
        <v>3.7699530987393899E-4</v>
      </c>
      <c r="G122" s="338">
        <f t="shared" si="31"/>
        <v>1</v>
      </c>
      <c r="H122" s="339">
        <f t="shared" si="32"/>
        <v>0</v>
      </c>
      <c r="I122" s="337">
        <f t="shared" si="33"/>
        <v>69304.027763117731</v>
      </c>
      <c r="J122" s="340">
        <f t="shared" si="34"/>
        <v>1.5707818976190997</v>
      </c>
      <c r="K122" s="348">
        <f t="shared" si="35"/>
        <v>1.4549827640614357</v>
      </c>
      <c r="L122" s="349">
        <f t="shared" si="36"/>
        <v>0.81304007193510952</v>
      </c>
      <c r="M122" s="337">
        <f t="shared" si="37"/>
        <v>1.0000187312841604</v>
      </c>
      <c r="N122" s="340">
        <f t="shared" si="38"/>
        <v>6.1206195407015745E-3</v>
      </c>
      <c r="O122" s="341">
        <f t="shared" si="39"/>
        <v>1.0000094897042373</v>
      </c>
      <c r="P122" s="342">
        <f t="shared" si="40"/>
        <v>9.6379481143195542E-3</v>
      </c>
      <c r="Q122" s="343">
        <f t="shared" si="41"/>
        <v>3.8024066560407248</v>
      </c>
      <c r="R122" s="344">
        <f t="shared" si="42"/>
        <v>-51.162400176060622</v>
      </c>
      <c r="S122" s="346">
        <f t="shared" si="43"/>
        <v>128.83759982393937</v>
      </c>
      <c r="U122" s="319">
        <f t="shared" si="50"/>
        <v>1000000000</v>
      </c>
      <c r="V122" s="319">
        <f t="shared" si="51"/>
        <v>40743327.302500002</v>
      </c>
      <c r="X122" s="345">
        <f t="shared" si="44"/>
        <v>4.1490491696387357</v>
      </c>
      <c r="Y122" s="346">
        <f t="shared" si="45"/>
        <v>-43.766094289927906</v>
      </c>
      <c r="AA122" s="345">
        <f t="shared" si="46"/>
        <v>32.876986355334367</v>
      </c>
      <c r="AB122" s="346">
        <f t="shared" si="47"/>
        <v>-7.3963058861327102</v>
      </c>
      <c r="AD122">
        <f t="shared" si="52"/>
        <v>0</v>
      </c>
      <c r="AE122">
        <f t="shared" si="53"/>
        <v>0</v>
      </c>
    </row>
    <row r="123" spans="1:31" x14ac:dyDescent="0.2">
      <c r="A123" s="347">
        <v>6456.5</v>
      </c>
      <c r="B123" s="364">
        <f t="shared" si="49"/>
        <v>6.4565000000000001</v>
      </c>
      <c r="C123" s="337">
        <f t="shared" si="27"/>
        <v>1.0073892603926062</v>
      </c>
      <c r="D123" s="338">
        <f t="shared" si="28"/>
        <v>0.12119442636722677</v>
      </c>
      <c r="E123" s="338">
        <f t="shared" si="29"/>
        <v>1.0000000727075888</v>
      </c>
      <c r="F123" s="339">
        <f t="shared" si="30"/>
        <v>3.8133340887694161E-4</v>
      </c>
      <c r="G123" s="338">
        <f t="shared" si="31"/>
        <v>1</v>
      </c>
      <c r="H123" s="339">
        <f t="shared" si="32"/>
        <v>0</v>
      </c>
      <c r="I123" s="337">
        <f t="shared" si="33"/>
        <v>70101.511855855089</v>
      </c>
      <c r="J123" s="340">
        <f t="shared" si="34"/>
        <v>1.5707820617673165</v>
      </c>
      <c r="K123" s="348">
        <f t="shared" si="35"/>
        <v>1.4638404588048985</v>
      </c>
      <c r="L123" s="349">
        <f t="shared" si="36"/>
        <v>0.81875007070614636</v>
      </c>
      <c r="M123" s="337">
        <f t="shared" si="37"/>
        <v>1.0000191648434551</v>
      </c>
      <c r="N123" s="340">
        <f t="shared" si="38"/>
        <v>6.191047953956105E-3</v>
      </c>
      <c r="O123" s="341">
        <f t="shared" si="39"/>
        <v>1.0000097093726701</v>
      </c>
      <c r="P123" s="342">
        <f t="shared" si="40"/>
        <v>9.7488537032013219E-3</v>
      </c>
      <c r="Q123" s="343">
        <f t="shared" si="41"/>
        <v>3.7543044841679221</v>
      </c>
      <c r="R123" s="344">
        <f t="shared" si="42"/>
        <v>-50.923628632057678</v>
      </c>
      <c r="S123" s="346">
        <f t="shared" si="43"/>
        <v>129.07637136794233</v>
      </c>
      <c r="U123" s="319">
        <f t="shared" si="50"/>
        <v>1000000000</v>
      </c>
      <c r="V123" s="319">
        <f t="shared" si="51"/>
        <v>41686392.25</v>
      </c>
      <c r="X123" s="345">
        <f t="shared" si="44"/>
        <v>4.1023851788749131</v>
      </c>
      <c r="Y123" s="346">
        <f t="shared" si="45"/>
        <v>-43.442980114790736</v>
      </c>
      <c r="AA123" s="345">
        <f t="shared" si="46"/>
        <v>32.875548174225386</v>
      </c>
      <c r="AB123" s="346">
        <f t="shared" si="47"/>
        <v>-7.4806485172669364</v>
      </c>
      <c r="AD123">
        <f t="shared" si="52"/>
        <v>0</v>
      </c>
      <c r="AE123">
        <f t="shared" si="53"/>
        <v>0</v>
      </c>
    </row>
    <row r="124" spans="1:31" x14ac:dyDescent="0.2">
      <c r="A124" s="347">
        <v>6531.7</v>
      </c>
      <c r="B124" s="364">
        <f t="shared" si="49"/>
        <v>6.5316999999999998</v>
      </c>
      <c r="C124" s="337">
        <f t="shared" si="27"/>
        <v>1.0075617411200382</v>
      </c>
      <c r="D124" s="338">
        <f t="shared" si="28"/>
        <v>0.12259197884808479</v>
      </c>
      <c r="E124" s="338">
        <f t="shared" si="29"/>
        <v>1.0000000744111284</v>
      </c>
      <c r="F124" s="339">
        <f t="shared" si="30"/>
        <v>3.8577486624839872E-4</v>
      </c>
      <c r="G124" s="338">
        <f t="shared" si="31"/>
        <v>1</v>
      </c>
      <c r="H124" s="339">
        <f t="shared" si="32"/>
        <v>0</v>
      </c>
      <c r="I124" s="337">
        <f t="shared" si="33"/>
        <v>70917.99659069498</v>
      </c>
      <c r="J124" s="340">
        <f t="shared" si="34"/>
        <v>1.5707822260017537</v>
      </c>
      <c r="K124" s="348">
        <f t="shared" si="35"/>
        <v>1.4729580382933802</v>
      </c>
      <c r="L124" s="349">
        <f t="shared" si="36"/>
        <v>0.82452477277540248</v>
      </c>
      <c r="M124" s="337">
        <f t="shared" si="37"/>
        <v>1.0000196138715496</v>
      </c>
      <c r="N124" s="340">
        <f t="shared" si="38"/>
        <v>6.2631543120591597E-3</v>
      </c>
      <c r="O124" s="341">
        <f t="shared" si="39"/>
        <v>1.0000099368793913</v>
      </c>
      <c r="P124" s="342">
        <f t="shared" si="40"/>
        <v>9.8624017469768552E-3</v>
      </c>
      <c r="Q124" s="343">
        <f t="shared" si="41"/>
        <v>3.7061626778125047</v>
      </c>
      <c r="R124" s="344">
        <f t="shared" si="42"/>
        <v>-50.683228580923831</v>
      </c>
      <c r="S124" s="346">
        <f t="shared" si="43"/>
        <v>129.31677141907616</v>
      </c>
      <c r="U124" s="319">
        <f t="shared" si="50"/>
        <v>1000000000</v>
      </c>
      <c r="V124" s="319">
        <f t="shared" si="51"/>
        <v>42663104.890000001</v>
      </c>
      <c r="X124" s="345">
        <f t="shared" si="44"/>
        <v>4.055732366057673</v>
      </c>
      <c r="Y124" s="346">
        <f t="shared" si="45"/>
        <v>-43.116254857839017</v>
      </c>
      <c r="AA124" s="345">
        <f t="shared" si="46"/>
        <v>32.874059180687212</v>
      </c>
      <c r="AB124" s="346">
        <f t="shared" si="47"/>
        <v>-7.5669737230848115</v>
      </c>
      <c r="AD124">
        <f t="shared" si="52"/>
        <v>0</v>
      </c>
      <c r="AE124">
        <f t="shared" si="53"/>
        <v>0</v>
      </c>
    </row>
    <row r="125" spans="1:31" x14ac:dyDescent="0.2">
      <c r="A125" s="347">
        <v>6606.9</v>
      </c>
      <c r="B125" s="364">
        <f t="shared" si="49"/>
        <v>6.6068999999999996</v>
      </c>
      <c r="C125" s="337">
        <f t="shared" si="27"/>
        <v>1.0077361890937562</v>
      </c>
      <c r="D125" s="338">
        <f t="shared" si="28"/>
        <v>0.1239890501996674</v>
      </c>
      <c r="E125" s="338">
        <f t="shared" si="29"/>
        <v>1.0000000761343943</v>
      </c>
      <c r="F125" s="339">
        <f t="shared" si="30"/>
        <v>3.9021632360463574E-4</v>
      </c>
      <c r="G125" s="338">
        <f t="shared" si="31"/>
        <v>1</v>
      </c>
      <c r="H125" s="339">
        <f t="shared" si="32"/>
        <v>0</v>
      </c>
      <c r="I125" s="337">
        <f t="shared" si="33"/>
        <v>71734.481325536733</v>
      </c>
      <c r="J125" s="340">
        <f t="shared" si="34"/>
        <v>1.5707823864975452</v>
      </c>
      <c r="K125" s="348">
        <f t="shared" si="35"/>
        <v>1.4821241315054532</v>
      </c>
      <c r="L125" s="349">
        <f t="shared" si="36"/>
        <v>0.83022823660465606</v>
      </c>
      <c r="M125" s="337">
        <f t="shared" si="37"/>
        <v>1.0000200680990683</v>
      </c>
      <c r="N125" s="340">
        <f t="shared" si="38"/>
        <v>6.3352606050330485E-3</v>
      </c>
      <c r="O125" s="341">
        <f t="shared" si="39"/>
        <v>1.0000101670213277</v>
      </c>
      <c r="P125" s="342">
        <f t="shared" si="40"/>
        <v>9.9759498399593378E-3</v>
      </c>
      <c r="Q125" s="343">
        <f t="shared" si="41"/>
        <v>3.6591070047778764</v>
      </c>
      <c r="R125" s="344">
        <f t="shared" si="42"/>
        <v>-50.446882398489819</v>
      </c>
      <c r="S125" s="346">
        <f t="shared" si="43"/>
        <v>129.55311760151017</v>
      </c>
      <c r="U125" s="319">
        <f t="shared" si="50"/>
        <v>1000000000</v>
      </c>
      <c r="V125" s="319">
        <f t="shared" si="51"/>
        <v>43651127.609999992</v>
      </c>
      <c r="X125" s="345">
        <f t="shared" si="44"/>
        <v>4.0101824108657045</v>
      </c>
      <c r="Y125" s="346">
        <f t="shared" si="45"/>
        <v>-42.79361103344381</v>
      </c>
      <c r="AA125" s="345">
        <f t="shared" si="46"/>
        <v>32.87255346284455</v>
      </c>
      <c r="AB125" s="346">
        <f t="shared" si="47"/>
        <v>-7.6532713650459989</v>
      </c>
      <c r="AD125">
        <f t="shared" si="52"/>
        <v>0</v>
      </c>
      <c r="AE125">
        <f t="shared" si="53"/>
        <v>0</v>
      </c>
    </row>
    <row r="126" spans="1:31" x14ac:dyDescent="0.2">
      <c r="A126" s="347">
        <v>6683.85</v>
      </c>
      <c r="B126" s="364">
        <f t="shared" si="49"/>
        <v>6.6838500000000005</v>
      </c>
      <c r="C126" s="337">
        <f t="shared" si="27"/>
        <v>1.0079167320783258</v>
      </c>
      <c r="D126" s="338">
        <f t="shared" si="28"/>
        <v>0.1254181297037063</v>
      </c>
      <c r="E126" s="338">
        <f t="shared" si="29"/>
        <v>1.0000000779181837</v>
      </c>
      <c r="F126" s="339">
        <f t="shared" si="30"/>
        <v>3.9476113932755984E-4</v>
      </c>
      <c r="G126" s="338">
        <f t="shared" si="31"/>
        <v>1</v>
      </c>
      <c r="H126" s="339">
        <f t="shared" si="32"/>
        <v>0</v>
      </c>
      <c r="I126" s="337">
        <f t="shared" si="33"/>
        <v>72569.966702481062</v>
      </c>
      <c r="J126" s="340">
        <f t="shared" si="34"/>
        <v>1.5707825469897587</v>
      </c>
      <c r="K126" s="348">
        <f t="shared" si="35"/>
        <v>1.4915528186595997</v>
      </c>
      <c r="L126" s="349">
        <f t="shared" si="36"/>
        <v>0.83599166978803452</v>
      </c>
      <c r="M126" s="337">
        <f t="shared" si="37"/>
        <v>1.0000205382793617</v>
      </c>
      <c r="N126" s="340">
        <f t="shared" si="38"/>
        <v>6.4090448352926571E-3</v>
      </c>
      <c r="O126" s="341">
        <f t="shared" si="39"/>
        <v>1.0000104052469034</v>
      </c>
      <c r="P126" s="342">
        <f t="shared" si="40"/>
        <v>1.0092140393549231E-2</v>
      </c>
      <c r="Q126" s="343">
        <f t="shared" si="41"/>
        <v>3.6120468176376757</v>
      </c>
      <c r="R126" s="344">
        <f t="shared" si="42"/>
        <v>-50.209175775570408</v>
      </c>
      <c r="S126" s="346">
        <f t="shared" si="43"/>
        <v>129.7908242244296</v>
      </c>
      <c r="U126" s="319">
        <f t="shared" si="50"/>
        <v>1000000000</v>
      </c>
      <c r="V126" s="319">
        <f t="shared" si="51"/>
        <v>44673850.822500005</v>
      </c>
      <c r="X126" s="345">
        <f t="shared" si="44"/>
        <v>3.9646802758937785</v>
      </c>
      <c r="Y126" s="346">
        <f t="shared" si="45"/>
        <v>-42.467627356673063</v>
      </c>
      <c r="AA126" s="345">
        <f t="shared" si="46"/>
        <v>32.870995410676279</v>
      </c>
      <c r="AB126" s="346">
        <f t="shared" si="47"/>
        <v>-7.7415484188973478</v>
      </c>
      <c r="AD126">
        <f t="shared" si="52"/>
        <v>0</v>
      </c>
      <c r="AE126">
        <f t="shared" si="53"/>
        <v>0</v>
      </c>
    </row>
    <row r="127" spans="1:31" x14ac:dyDescent="0.2">
      <c r="A127" s="347">
        <v>6760.8</v>
      </c>
      <c r="B127" s="364">
        <f t="shared" si="49"/>
        <v>6.7608000000000006</v>
      </c>
      <c r="C127" s="337">
        <f t="shared" si="27"/>
        <v>1.0080993327594621</v>
      </c>
      <c r="D127" s="338">
        <f t="shared" si="28"/>
        <v>0.12684669441569454</v>
      </c>
      <c r="E127" s="338">
        <f t="shared" si="29"/>
        <v>1.0000000797226283</v>
      </c>
      <c r="F127" s="339">
        <f t="shared" si="30"/>
        <v>3.9930595503417601E-4</v>
      </c>
      <c r="G127" s="338">
        <f t="shared" si="31"/>
        <v>1</v>
      </c>
      <c r="H127" s="339">
        <f t="shared" si="32"/>
        <v>0</v>
      </c>
      <c r="I127" s="337">
        <f t="shared" si="33"/>
        <v>73405.452079427239</v>
      </c>
      <c r="J127" s="340">
        <f t="shared" si="34"/>
        <v>1.5707827038285951</v>
      </c>
      <c r="K127" s="348">
        <f t="shared" si="35"/>
        <v>1.5010304275790771</v>
      </c>
      <c r="L127" s="349">
        <f t="shared" si="36"/>
        <v>0.84168250860158256</v>
      </c>
      <c r="M127" s="337">
        <f t="shared" si="37"/>
        <v>1.0000210139038743</v>
      </c>
      <c r="N127" s="340">
        <f t="shared" si="38"/>
        <v>6.4828289957682512E-3</v>
      </c>
      <c r="O127" s="341">
        <f t="shared" si="39"/>
        <v>1.0000106462318252</v>
      </c>
      <c r="P127" s="342">
        <f t="shared" si="40"/>
        <v>1.0208330999862646E-2</v>
      </c>
      <c r="Q127" s="343">
        <f t="shared" si="41"/>
        <v>3.5660564590024144</v>
      </c>
      <c r="R127" s="344">
        <f t="shared" si="42"/>
        <v>-49.975598797951953</v>
      </c>
      <c r="S127" s="346">
        <f t="shared" si="43"/>
        <v>130.02440120204804</v>
      </c>
      <c r="U127" s="319">
        <f t="shared" si="50"/>
        <v>1000000000</v>
      </c>
      <c r="V127" s="319">
        <f t="shared" si="51"/>
        <v>45708416.640000001</v>
      </c>
      <c r="X127" s="345">
        <f t="shared" si="44"/>
        <v>3.9202654438685398</v>
      </c>
      <c r="Y127" s="346">
        <f t="shared" si="45"/>
        <v>-42.145802817593342</v>
      </c>
      <c r="AA127" s="345">
        <f t="shared" si="46"/>
        <v>32.869419884066254</v>
      </c>
      <c r="AB127" s="346">
        <f t="shared" si="47"/>
        <v>-7.8297959803586057</v>
      </c>
      <c r="AD127">
        <f t="shared" si="52"/>
        <v>0</v>
      </c>
      <c r="AE127">
        <f t="shared" si="53"/>
        <v>0</v>
      </c>
    </row>
    <row r="128" spans="1:31" x14ac:dyDescent="0.2">
      <c r="A128" s="347">
        <v>6839.55</v>
      </c>
      <c r="B128" s="364">
        <f t="shared" si="49"/>
        <v>6.83955</v>
      </c>
      <c r="C128" s="337">
        <f t="shared" si="27"/>
        <v>1.0082883340943902</v>
      </c>
      <c r="D128" s="338">
        <f t="shared" si="28"/>
        <v>0.12830813705982111</v>
      </c>
      <c r="E128" s="338">
        <f t="shared" si="29"/>
        <v>1.0000000815906678</v>
      </c>
      <c r="F128" s="339">
        <f t="shared" si="30"/>
        <v>4.0395708220222911E-4</v>
      </c>
      <c r="G128" s="338">
        <f t="shared" si="31"/>
        <v>1</v>
      </c>
      <c r="H128" s="339">
        <f t="shared" si="32"/>
        <v>0</v>
      </c>
      <c r="I128" s="337">
        <f t="shared" si="33"/>
        <v>74260.480973964601</v>
      </c>
      <c r="J128" s="340">
        <f t="shared" si="34"/>
        <v>1.5707828606822765</v>
      </c>
      <c r="K128" s="348">
        <f t="shared" si="35"/>
        <v>1.5107794259305525</v>
      </c>
      <c r="L128" s="349">
        <f t="shared" si="36"/>
        <v>0.84743234975993253</v>
      </c>
      <c r="M128" s="337">
        <f t="shared" si="37"/>
        <v>1.0000215062908326</v>
      </c>
      <c r="N128" s="340">
        <f t="shared" si="38"/>
        <v>6.5583390284282943E-3</v>
      </c>
      <c r="O128" s="341">
        <f t="shared" si="39"/>
        <v>1.0000108957107718</v>
      </c>
      <c r="P128" s="342">
        <f t="shared" si="40"/>
        <v>1.0327239570316653E-2</v>
      </c>
      <c r="Q128" s="343">
        <f t="shared" si="41"/>
        <v>3.5200642458082001</v>
      </c>
      <c r="R128" s="344">
        <f t="shared" si="42"/>
        <v>-49.740773524462945</v>
      </c>
      <c r="S128" s="346">
        <f t="shared" si="43"/>
        <v>130.25922647553705</v>
      </c>
      <c r="U128" s="319">
        <f t="shared" si="50"/>
        <v>1000000000</v>
      </c>
      <c r="V128" s="319">
        <f t="shared" si="51"/>
        <v>46779444.202500001</v>
      </c>
      <c r="X128" s="345">
        <f t="shared" si="44"/>
        <v>3.8759036840723482</v>
      </c>
      <c r="Y128" s="346">
        <f t="shared" si="45"/>
        <v>-41.820696579214044</v>
      </c>
      <c r="AA128" s="345">
        <f t="shared" si="46"/>
        <v>32.867789430668239</v>
      </c>
      <c r="AB128" s="346">
        <f t="shared" si="47"/>
        <v>-7.9200769452488986</v>
      </c>
      <c r="AD128">
        <f t="shared" si="52"/>
        <v>0</v>
      </c>
      <c r="AE128">
        <f t="shared" si="53"/>
        <v>0</v>
      </c>
    </row>
    <row r="129" spans="1:31" x14ac:dyDescent="0.2">
      <c r="A129" s="347">
        <v>6918.3</v>
      </c>
      <c r="B129" s="364">
        <f t="shared" si="49"/>
        <v>6.9183000000000003</v>
      </c>
      <c r="C129" s="337">
        <f t="shared" si="27"/>
        <v>1.0084794881363925</v>
      </c>
      <c r="D129" s="338">
        <f t="shared" si="28"/>
        <v>0.12976902879965946</v>
      </c>
      <c r="E129" s="338">
        <f t="shared" si="29"/>
        <v>1.0000000834803402</v>
      </c>
      <c r="F129" s="339">
        <f t="shared" si="30"/>
        <v>4.0860820935280454E-4</v>
      </c>
      <c r="G129" s="338">
        <f t="shared" si="31"/>
        <v>1</v>
      </c>
      <c r="H129" s="339">
        <f t="shared" si="32"/>
        <v>0</v>
      </c>
      <c r="I129" s="337">
        <f t="shared" si="33"/>
        <v>75115.509868503752</v>
      </c>
      <c r="J129" s="340">
        <f t="shared" si="34"/>
        <v>1.5707830139650725</v>
      </c>
      <c r="K129" s="348">
        <f t="shared" si="35"/>
        <v>1.5205777302479819</v>
      </c>
      <c r="L129" s="349">
        <f t="shared" si="36"/>
        <v>0.85310827486780749</v>
      </c>
      <c r="M129" s="337">
        <f t="shared" si="37"/>
        <v>1.0000220043796728</v>
      </c>
      <c r="N129" s="340">
        <f t="shared" si="38"/>
        <v>6.6338489862991235E-3</v>
      </c>
      <c r="O129" s="341">
        <f t="shared" si="39"/>
        <v>1.0000111480797269</v>
      </c>
      <c r="P129" s="342">
        <f t="shared" si="40"/>
        <v>1.0446148197275396E-2</v>
      </c>
      <c r="Q129" s="343">
        <f t="shared" si="41"/>
        <v>3.4751252469175959</v>
      </c>
      <c r="R129" s="344">
        <f t="shared" si="42"/>
        <v>-49.510151558575316</v>
      </c>
      <c r="S129" s="346">
        <f t="shared" si="43"/>
        <v>130.48984844142467</v>
      </c>
      <c r="U129" s="319">
        <f t="shared" si="50"/>
        <v>1000000000</v>
      </c>
      <c r="V129" s="319">
        <f t="shared" si="51"/>
        <v>47862874.890000001</v>
      </c>
      <c r="X129" s="345">
        <f t="shared" si="44"/>
        <v>3.8326133992783507</v>
      </c>
      <c r="Y129" s="346">
        <f t="shared" si="45"/>
        <v>-41.499825209688318</v>
      </c>
      <c r="AA129" s="345">
        <f t="shared" si="46"/>
        <v>32.866140716571628</v>
      </c>
      <c r="AB129" s="346">
        <f t="shared" si="47"/>
        <v>-8.0103263488870091</v>
      </c>
      <c r="AD129">
        <f t="shared" si="52"/>
        <v>0</v>
      </c>
      <c r="AE129">
        <f t="shared" si="53"/>
        <v>0</v>
      </c>
    </row>
    <row r="130" spans="1:31" x14ac:dyDescent="0.2">
      <c r="A130" s="347">
        <v>6998.9</v>
      </c>
      <c r="B130" s="364">
        <f t="shared" si="49"/>
        <v>6.9988999999999999</v>
      </c>
      <c r="C130" s="337">
        <f t="shared" si="27"/>
        <v>1.0086773606623227</v>
      </c>
      <c r="D130" s="338">
        <f t="shared" si="28"/>
        <v>0.13126366325300298</v>
      </c>
      <c r="E130" s="338">
        <f t="shared" si="29"/>
        <v>1.0000000854368063</v>
      </c>
      <c r="F130" s="339">
        <f t="shared" si="30"/>
        <v>4.1336860105940272E-4</v>
      </c>
      <c r="G130" s="338">
        <f t="shared" si="31"/>
        <v>1</v>
      </c>
      <c r="H130" s="339">
        <f t="shared" si="32"/>
        <v>0</v>
      </c>
      <c r="I130" s="337">
        <f t="shared" si="33"/>
        <v>75990.625156122769</v>
      </c>
      <c r="J130" s="340">
        <f t="shared" si="34"/>
        <v>1.5707831672768906</v>
      </c>
      <c r="K130" s="348">
        <f t="shared" si="35"/>
        <v>1.5306562857599952</v>
      </c>
      <c r="L130" s="349">
        <f t="shared" si="36"/>
        <v>0.85884210161492258</v>
      </c>
      <c r="M130" s="337">
        <f t="shared" si="37"/>
        <v>1.0000225200740178</v>
      </c>
      <c r="N130" s="340">
        <f t="shared" si="38"/>
        <v>6.7111327505507317E-3</v>
      </c>
      <c r="O130" s="341">
        <f t="shared" si="39"/>
        <v>1.0000114093700265</v>
      </c>
      <c r="P130" s="342">
        <f t="shared" si="40"/>
        <v>1.0567850292438521E-2</v>
      </c>
      <c r="Q130" s="343">
        <f t="shared" si="41"/>
        <v>3.4301875492299407</v>
      </c>
      <c r="R130" s="344">
        <f t="shared" si="42"/>
        <v>-49.278400815026764</v>
      </c>
      <c r="S130" s="346">
        <f t="shared" si="43"/>
        <v>130.72159918497323</v>
      </c>
      <c r="U130" s="319">
        <f t="shared" si="50"/>
        <v>1000000000</v>
      </c>
      <c r="V130" s="319">
        <f t="shared" si="51"/>
        <v>48984601.209999993</v>
      </c>
      <c r="X130" s="345">
        <f t="shared" si="44"/>
        <v>3.7893820347116969</v>
      </c>
      <c r="Y130" s="346">
        <f t="shared" si="45"/>
        <v>-41.175737953885701</v>
      </c>
      <c r="AA130" s="345">
        <f t="shared" si="46"/>
        <v>32.864434383450629</v>
      </c>
      <c r="AB130" s="346">
        <f t="shared" si="47"/>
        <v>-8.1026628611410754</v>
      </c>
      <c r="AD130">
        <f t="shared" si="52"/>
        <v>0</v>
      </c>
      <c r="AE130">
        <f t="shared" si="53"/>
        <v>0</v>
      </c>
    </row>
    <row r="131" spans="1:31" x14ac:dyDescent="0.2">
      <c r="A131" s="347">
        <v>7079.5</v>
      </c>
      <c r="B131" s="364">
        <f t="shared" si="49"/>
        <v>7.0795000000000003</v>
      </c>
      <c r="C131" s="337">
        <f t="shared" si="27"/>
        <v>1.0088774856182088</v>
      </c>
      <c r="D131" s="338">
        <f t="shared" si="28"/>
        <v>0.1327577080795585</v>
      </c>
      <c r="E131" s="338">
        <f t="shared" si="29"/>
        <v>1.0000000874159336</v>
      </c>
      <c r="F131" s="339">
        <f t="shared" si="30"/>
        <v>4.1812899274726588E-4</v>
      </c>
      <c r="G131" s="338">
        <f t="shared" si="31"/>
        <v>1</v>
      </c>
      <c r="H131" s="339">
        <f t="shared" si="32"/>
        <v>0</v>
      </c>
      <c r="I131" s="337">
        <f t="shared" si="33"/>
        <v>76865.740443743518</v>
      </c>
      <c r="J131" s="340">
        <f t="shared" si="34"/>
        <v>1.5707833170978034</v>
      </c>
      <c r="K131" s="348">
        <f t="shared" si="35"/>
        <v>1.5407845050031961</v>
      </c>
      <c r="L131" s="349">
        <f t="shared" si="36"/>
        <v>0.86450073070132671</v>
      </c>
      <c r="M131" s="337">
        <f t="shared" si="37"/>
        <v>1.0000230417412712</v>
      </c>
      <c r="N131" s="340">
        <f t="shared" si="38"/>
        <v>6.7884164346329792E-3</v>
      </c>
      <c r="O131" s="341">
        <f t="shared" si="39"/>
        <v>1.0000116736877807</v>
      </c>
      <c r="P131" s="342">
        <f t="shared" si="40"/>
        <v>1.0689552448170816E-2</v>
      </c>
      <c r="Q131" s="343">
        <f t="shared" si="41"/>
        <v>3.3862861066086545</v>
      </c>
      <c r="R131" s="344">
        <f t="shared" si="42"/>
        <v>-49.050924595808588</v>
      </c>
      <c r="S131" s="346">
        <f t="shared" si="43"/>
        <v>130.9490754041914</v>
      </c>
      <c r="U131" s="319">
        <f t="shared" si="50"/>
        <v>1000000000</v>
      </c>
      <c r="V131" s="319">
        <f t="shared" si="51"/>
        <v>50119320.25</v>
      </c>
      <c r="X131" s="345">
        <f t="shared" si="44"/>
        <v>3.7472060092782651</v>
      </c>
      <c r="Y131" s="346">
        <f t="shared" si="45"/>
        <v>-40.855959002068495</v>
      </c>
      <c r="AA131" s="345">
        <f t="shared" si="46"/>
        <v>32.862708966262765</v>
      </c>
      <c r="AB131" s="346">
        <f t="shared" si="47"/>
        <v>-8.1949655937400951</v>
      </c>
      <c r="AD131">
        <f t="shared" si="52"/>
        <v>0</v>
      </c>
      <c r="AE131">
        <f t="shared" si="53"/>
        <v>0</v>
      </c>
    </row>
    <row r="132" spans="1:31" x14ac:dyDescent="0.2">
      <c r="A132" s="347">
        <v>7161.95</v>
      </c>
      <c r="B132" s="364">
        <f t="shared" si="49"/>
        <v>7.16195</v>
      </c>
      <c r="C132" s="337">
        <f t="shared" si="27"/>
        <v>1.0090845331884155</v>
      </c>
      <c r="D132" s="338">
        <f t="shared" si="28"/>
        <v>0.13428542882957242</v>
      </c>
      <c r="E132" s="338">
        <f t="shared" si="29"/>
        <v>1.0000000894639351</v>
      </c>
      <c r="F132" s="339">
        <f t="shared" si="30"/>
        <v>4.2299864898899997E-4</v>
      </c>
      <c r="G132" s="338">
        <f t="shared" si="31"/>
        <v>1</v>
      </c>
      <c r="H132" s="339">
        <f t="shared" si="32"/>
        <v>0</v>
      </c>
      <c r="I132" s="337">
        <f t="shared" si="33"/>
        <v>77760.942124444162</v>
      </c>
      <c r="J132" s="340">
        <f t="shared" si="34"/>
        <v>1.5707834668684</v>
      </c>
      <c r="K132" s="348">
        <f t="shared" si="35"/>
        <v>1.5511955681931955</v>
      </c>
      <c r="L132" s="349">
        <f t="shared" si="36"/>
        <v>0.8702125967438743</v>
      </c>
      <c r="M132" s="337">
        <f t="shared" si="37"/>
        <v>1.0000235815623917</v>
      </c>
      <c r="N132" s="340">
        <f t="shared" si="38"/>
        <v>6.8674739158884274E-3</v>
      </c>
      <c r="O132" s="341">
        <f t="shared" si="39"/>
        <v>1.0000119472049018</v>
      </c>
      <c r="P132" s="342">
        <f t="shared" si="40"/>
        <v>1.081404807906357E-2</v>
      </c>
      <c r="Q132" s="343">
        <f t="shared" si="41"/>
        <v>3.342415762289153</v>
      </c>
      <c r="R132" s="344">
        <f t="shared" si="42"/>
        <v>-48.822583034121564</v>
      </c>
      <c r="S132" s="346">
        <f t="shared" si="43"/>
        <v>131.17741696587842</v>
      </c>
      <c r="U132" s="319">
        <f t="shared" si="50"/>
        <v>1000000000</v>
      </c>
      <c r="V132" s="319">
        <f t="shared" si="51"/>
        <v>51293527.802499995</v>
      </c>
      <c r="X132" s="345">
        <f t="shared" si="44"/>
        <v>3.7051204076183941</v>
      </c>
      <c r="Y132" s="346">
        <f t="shared" si="45"/>
        <v>-40.533231425555613</v>
      </c>
      <c r="AA132" s="345">
        <f t="shared" si="46"/>
        <v>32.860924223603135</v>
      </c>
      <c r="AB132" s="346">
        <f t="shared" si="47"/>
        <v>-8.2893516085659478</v>
      </c>
      <c r="AD132">
        <f t="shared" si="52"/>
        <v>0</v>
      </c>
      <c r="AE132">
        <f t="shared" si="53"/>
        <v>0</v>
      </c>
    </row>
    <row r="133" spans="1:31" x14ac:dyDescent="0.2">
      <c r="A133" s="347">
        <v>7244.4</v>
      </c>
      <c r="B133" s="364">
        <f t="shared" si="49"/>
        <v>7.2443999999999997</v>
      </c>
      <c r="C133" s="337">
        <f t="shared" si="27"/>
        <v>1.0092939349225085</v>
      </c>
      <c r="D133" s="338">
        <f t="shared" si="28"/>
        <v>0.13581251921937496</v>
      </c>
      <c r="E133" s="338">
        <f t="shared" si="29"/>
        <v>1.0000000915356504</v>
      </c>
      <c r="F133" s="339">
        <f t="shared" si="30"/>
        <v>4.2786830521067236E-4</v>
      </c>
      <c r="G133" s="338">
        <f t="shared" si="31"/>
        <v>1</v>
      </c>
      <c r="H133" s="339">
        <f t="shared" si="32"/>
        <v>0</v>
      </c>
      <c r="I133" s="337">
        <f t="shared" si="33"/>
        <v>78656.143805146494</v>
      </c>
      <c r="J133" s="340">
        <f t="shared" si="34"/>
        <v>1.5707836132298572</v>
      </c>
      <c r="K133" s="348">
        <f t="shared" si="35"/>
        <v>1.5616565640447924</v>
      </c>
      <c r="L133" s="349">
        <f t="shared" si="36"/>
        <v>0.87584812098459508</v>
      </c>
      <c r="M133" s="337">
        <f t="shared" si="37"/>
        <v>1.0000241276337385</v>
      </c>
      <c r="N133" s="340">
        <f t="shared" si="38"/>
        <v>6.9465313112980235E-3</v>
      </c>
      <c r="O133" s="341">
        <f t="shared" si="39"/>
        <v>1.0000122238901219</v>
      </c>
      <c r="P133" s="342">
        <f t="shared" si="40"/>
        <v>1.0938543774813741E-2</v>
      </c>
      <c r="Q133" s="343">
        <f t="shared" si="41"/>
        <v>3.299563125976265</v>
      </c>
      <c r="R133" s="344">
        <f t="shared" si="42"/>
        <v>-48.598579221974184</v>
      </c>
      <c r="S133" s="346">
        <f t="shared" si="43"/>
        <v>131.40142077802582</v>
      </c>
      <c r="U133" s="319">
        <f t="shared" si="50"/>
        <v>1000000000</v>
      </c>
      <c r="V133" s="319">
        <f t="shared" si="51"/>
        <v>52481331.359999992</v>
      </c>
      <c r="X133" s="345">
        <f t="shared" si="44"/>
        <v>3.6640724353362368</v>
      </c>
      <c r="Y133" s="346">
        <f t="shared" si="45"/>
        <v>-40.214877711844913</v>
      </c>
      <c r="AA133" s="345">
        <f t="shared" si="46"/>
        <v>32.859119559572406</v>
      </c>
      <c r="AB133" s="346">
        <f t="shared" si="47"/>
        <v>-8.3837015101292778</v>
      </c>
      <c r="AD133">
        <f t="shared" si="52"/>
        <v>0</v>
      </c>
      <c r="AE133">
        <f t="shared" si="53"/>
        <v>0</v>
      </c>
    </row>
    <row r="134" spans="1:31" x14ac:dyDescent="0.2">
      <c r="A134" s="347">
        <v>7328.75</v>
      </c>
      <c r="B134" s="364">
        <f t="shared" si="49"/>
        <v>7.3287500000000003</v>
      </c>
      <c r="C134" s="337">
        <f t="shared" si="27"/>
        <v>1.0095105968027493</v>
      </c>
      <c r="D134" s="338">
        <f t="shared" si="28"/>
        <v>0.13737414095884423</v>
      </c>
      <c r="E134" s="338">
        <f t="shared" si="29"/>
        <v>1.000000093679646</v>
      </c>
      <c r="F134" s="339">
        <f t="shared" si="30"/>
        <v>4.3285017908049076E-4</v>
      </c>
      <c r="G134" s="338">
        <f t="shared" si="31"/>
        <v>1</v>
      </c>
      <c r="H134" s="339">
        <f t="shared" si="32"/>
        <v>0</v>
      </c>
      <c r="I134" s="337">
        <f t="shared" si="33"/>
        <v>79571.974754417373</v>
      </c>
      <c r="J134" s="340">
        <f t="shared" si="34"/>
        <v>1.5707837595562035</v>
      </c>
      <c r="K134" s="348">
        <f t="shared" si="35"/>
        <v>1.5724092585678862</v>
      </c>
      <c r="L134" s="349">
        <f t="shared" si="36"/>
        <v>0.88153573027281418</v>
      </c>
      <c r="M134" s="337">
        <f t="shared" si="37"/>
        <v>1.0000246927568228</v>
      </c>
      <c r="N134" s="340">
        <f t="shared" si="38"/>
        <v>7.0274104367475795E-3</v>
      </c>
      <c r="O134" s="341">
        <f t="shared" si="39"/>
        <v>1.0000125102298398</v>
      </c>
      <c r="P134" s="342">
        <f t="shared" si="40"/>
        <v>1.1065908450792495E-2</v>
      </c>
      <c r="Q134" s="343">
        <f t="shared" si="41"/>
        <v>3.2567428984402809</v>
      </c>
      <c r="R134" s="344">
        <f t="shared" si="42"/>
        <v>-48.373831983317366</v>
      </c>
      <c r="S134" s="346">
        <f t="shared" si="43"/>
        <v>131.62616801668264</v>
      </c>
      <c r="U134" s="319">
        <f t="shared" si="50"/>
        <v>1000000000</v>
      </c>
      <c r="V134" s="319">
        <f t="shared" si="51"/>
        <v>53710576.5625</v>
      </c>
      <c r="X134" s="345">
        <f t="shared" si="44"/>
        <v>3.62311904812998</v>
      </c>
      <c r="Y134" s="346">
        <f t="shared" si="45"/>
        <v>-39.893644120164538</v>
      </c>
      <c r="AA134" s="345">
        <f t="shared" si="46"/>
        <v>32.85725271924268</v>
      </c>
      <c r="AB134" s="346">
        <f t="shared" si="47"/>
        <v>-8.4801878631528247</v>
      </c>
      <c r="AD134">
        <f t="shared" si="52"/>
        <v>0</v>
      </c>
      <c r="AE134">
        <f t="shared" si="53"/>
        <v>0</v>
      </c>
    </row>
    <row r="135" spans="1:31" x14ac:dyDescent="0.2">
      <c r="A135" s="347">
        <v>7413.1</v>
      </c>
      <c r="B135" s="364">
        <f t="shared" si="49"/>
        <v>7.4131</v>
      </c>
      <c r="C135" s="337">
        <f t="shared" si="27"/>
        <v>1.0097297194785801</v>
      </c>
      <c r="D135" s="338">
        <f t="shared" si="28"/>
        <v>0.13893508872469837</v>
      </c>
      <c r="E135" s="338">
        <f t="shared" si="29"/>
        <v>1.0000000958484609</v>
      </c>
      <c r="F135" s="339">
        <f t="shared" si="30"/>
        <v>4.3783205292882319E-4</v>
      </c>
      <c r="G135" s="338">
        <f t="shared" si="31"/>
        <v>1</v>
      </c>
      <c r="H135" s="339">
        <f t="shared" si="32"/>
        <v>0</v>
      </c>
      <c r="I135" s="337">
        <f t="shared" si="33"/>
        <v>80487.805703689912</v>
      </c>
      <c r="J135" s="340">
        <f t="shared" si="34"/>
        <v>1.5707839025525996</v>
      </c>
      <c r="K135" s="348">
        <f t="shared" si="35"/>
        <v>1.5832121269189083</v>
      </c>
      <c r="L135" s="349">
        <f t="shared" si="36"/>
        <v>0.88714590147635786</v>
      </c>
      <c r="M135" s="337">
        <f t="shared" si="37"/>
        <v>1.0000252644214942</v>
      </c>
      <c r="N135" s="340">
        <f t="shared" si="38"/>
        <v>7.1082894702570575E-3</v>
      </c>
      <c r="O135" s="341">
        <f t="shared" si="39"/>
        <v>1.0000127998854316</v>
      </c>
      <c r="P135" s="342">
        <f t="shared" si="40"/>
        <v>1.1193273196232445E-2</v>
      </c>
      <c r="Q135" s="343">
        <f t="shared" si="41"/>
        <v>3.2149215758549006</v>
      </c>
      <c r="R135" s="344">
        <f t="shared" si="42"/>
        <v>-48.153482812168569</v>
      </c>
      <c r="S135" s="346">
        <f t="shared" si="43"/>
        <v>131.84651718783144</v>
      </c>
      <c r="U135" s="319">
        <f t="shared" si="50"/>
        <v>1000000000</v>
      </c>
      <c r="V135" s="319">
        <f t="shared" si="51"/>
        <v>54954051.610000007</v>
      </c>
      <c r="X135" s="345">
        <f t="shared" si="44"/>
        <v>3.5831853626327952</v>
      </c>
      <c r="Y135" s="346">
        <f t="shared" si="45"/>
        <v>-39.576847207854833</v>
      </c>
      <c r="AA135" s="345">
        <f t="shared" si="46"/>
        <v>32.855365082154485</v>
      </c>
      <c r="AB135" s="346">
        <f t="shared" si="47"/>
        <v>-8.5766356043137399</v>
      </c>
      <c r="AD135">
        <f t="shared" si="52"/>
        <v>0</v>
      </c>
      <c r="AE135">
        <f t="shared" si="53"/>
        <v>0</v>
      </c>
    </row>
    <row r="136" spans="1:31" x14ac:dyDescent="0.2">
      <c r="A136" s="347">
        <v>7499.45</v>
      </c>
      <c r="B136" s="364">
        <f t="shared" si="49"/>
        <v>7.4994499999999995</v>
      </c>
      <c r="C136" s="337">
        <f t="shared" si="27"/>
        <v>1.0099565850486814</v>
      </c>
      <c r="D136" s="338">
        <f t="shared" si="28"/>
        <v>0.14053234208559418</v>
      </c>
      <c r="E136" s="338">
        <f t="shared" si="29"/>
        <v>1.0000000980944088</v>
      </c>
      <c r="F136" s="339">
        <f t="shared" si="30"/>
        <v>4.4293205061589407E-4</v>
      </c>
      <c r="G136" s="338">
        <f t="shared" si="31"/>
        <v>1</v>
      </c>
      <c r="H136" s="339">
        <f t="shared" si="32"/>
        <v>0</v>
      </c>
      <c r="I136" s="337">
        <f t="shared" si="33"/>
        <v>81425.351672508215</v>
      </c>
      <c r="J136" s="340">
        <f t="shared" si="34"/>
        <v>1.5707840456075333</v>
      </c>
      <c r="K136" s="348">
        <f t="shared" si="35"/>
        <v>1.5943220467248125</v>
      </c>
      <c r="L136" s="349">
        <f t="shared" si="36"/>
        <v>0.8928101585337519</v>
      </c>
      <c r="M136" s="337">
        <f t="shared" si="37"/>
        <v>1.0000258564168247</v>
      </c>
      <c r="N136" s="340">
        <f t="shared" si="38"/>
        <v>7.1910861082799208E-3</v>
      </c>
      <c r="O136" s="341">
        <f t="shared" si="39"/>
        <v>1.0000130998437498</v>
      </c>
      <c r="P136" s="342">
        <f t="shared" si="40"/>
        <v>1.1323657925434454E-2</v>
      </c>
      <c r="Q136" s="343">
        <f t="shared" si="41"/>
        <v>3.1731102976206067</v>
      </c>
      <c r="R136" s="344">
        <f t="shared" si="42"/>
        <v>-47.932391045556258</v>
      </c>
      <c r="S136" s="346">
        <f t="shared" si="43"/>
        <v>132.06760895444376</v>
      </c>
      <c r="U136" s="319">
        <f t="shared" si="50"/>
        <v>1000000000</v>
      </c>
      <c r="V136" s="319">
        <f t="shared" si="51"/>
        <v>56241750.302499995</v>
      </c>
      <c r="X136" s="345">
        <f t="shared" si="44"/>
        <v>3.5433279924133654</v>
      </c>
      <c r="Y136" s="346">
        <f t="shared" si="45"/>
        <v>-39.257061278384079</v>
      </c>
      <c r="AA136" s="345">
        <f t="shared" si="46"/>
        <v>32.853411174139623</v>
      </c>
      <c r="AB136" s="346">
        <f t="shared" si="47"/>
        <v>-8.6753297671721654</v>
      </c>
      <c r="AD136">
        <f t="shared" si="52"/>
        <v>0</v>
      </c>
      <c r="AE136">
        <f t="shared" si="53"/>
        <v>0</v>
      </c>
    </row>
    <row r="137" spans="1:31" x14ac:dyDescent="0.2">
      <c r="A137" s="347">
        <v>7585.8</v>
      </c>
      <c r="B137" s="364">
        <f t="shared" si="49"/>
        <v>7.5857999999999999</v>
      </c>
      <c r="C137" s="337">
        <f t="shared" si="27"/>
        <v>1.0101860260773659</v>
      </c>
      <c r="D137" s="338">
        <f t="shared" si="28"/>
        <v>0.14212887395772544</v>
      </c>
      <c r="E137" s="338">
        <f t="shared" si="29"/>
        <v>1.0000001003663666</v>
      </c>
      <c r="F137" s="339">
        <f t="shared" si="30"/>
        <v>4.4803204827992363E-4</v>
      </c>
      <c r="G137" s="338">
        <f t="shared" si="31"/>
        <v>1</v>
      </c>
      <c r="H137" s="339">
        <f t="shared" si="32"/>
        <v>0</v>
      </c>
      <c r="I137" s="337">
        <f t="shared" si="33"/>
        <v>82362.897641328134</v>
      </c>
      <c r="J137" s="340">
        <f t="shared" si="34"/>
        <v>1.5707841854056466</v>
      </c>
      <c r="K137" s="348">
        <f t="shared" si="35"/>
        <v>1.6054824095621647</v>
      </c>
      <c r="L137" s="349">
        <f t="shared" si="36"/>
        <v>0.89839584361426006</v>
      </c>
      <c r="M137" s="337">
        <f t="shared" si="37"/>
        <v>1.0000264552676075</v>
      </c>
      <c r="N137" s="340">
        <f t="shared" si="38"/>
        <v>7.273882647707338E-3</v>
      </c>
      <c r="O137" s="341">
        <f t="shared" si="39"/>
        <v>1.0000134032771364</v>
      </c>
      <c r="P137" s="342">
        <f t="shared" si="40"/>
        <v>1.1454042729125291E-2</v>
      </c>
      <c r="Q137" s="343">
        <f t="shared" si="41"/>
        <v>3.1322799628407774</v>
      </c>
      <c r="R137" s="344">
        <f t="shared" si="42"/>
        <v>-47.715759595369427</v>
      </c>
      <c r="S137" s="346">
        <f t="shared" si="43"/>
        <v>132.28424040463057</v>
      </c>
      <c r="U137" s="319">
        <f t="shared" si="50"/>
        <v>1000000000</v>
      </c>
      <c r="V137" s="319">
        <f t="shared" si="51"/>
        <v>57544361.640000001</v>
      </c>
      <c r="X137" s="345">
        <f t="shared" si="44"/>
        <v>3.5044733019429124</v>
      </c>
      <c r="Y137" s="346">
        <f t="shared" si="45"/>
        <v>-38.941776999330848</v>
      </c>
      <c r="AA137" s="345">
        <f t="shared" si="46"/>
        <v>32.851435529830241</v>
      </c>
      <c r="AB137" s="346">
        <f t="shared" si="47"/>
        <v>-8.7739825960385858</v>
      </c>
      <c r="AD137">
        <f t="shared" si="52"/>
        <v>0</v>
      </c>
      <c r="AE137">
        <f t="shared" si="53"/>
        <v>0</v>
      </c>
    </row>
    <row r="138" spans="1:31" x14ac:dyDescent="0.2">
      <c r="A138" s="347">
        <v>7674.15</v>
      </c>
      <c r="B138" s="364">
        <f t="shared" si="49"/>
        <v>7.67415</v>
      </c>
      <c r="C138" s="337">
        <f t="shared" si="27"/>
        <v>1.0104234451131247</v>
      </c>
      <c r="D138" s="338">
        <f t="shared" si="28"/>
        <v>0.14376162926391836</v>
      </c>
      <c r="E138" s="338">
        <f t="shared" si="29"/>
        <v>1.0000001027178671</v>
      </c>
      <c r="F138" s="339">
        <f t="shared" si="30"/>
        <v>4.5325016978002602E-4</v>
      </c>
      <c r="G138" s="338">
        <f t="shared" si="31"/>
        <v>1</v>
      </c>
      <c r="H138" s="339">
        <f t="shared" si="32"/>
        <v>0</v>
      </c>
      <c r="I138" s="337">
        <f t="shared" si="33"/>
        <v>83322.158629693877</v>
      </c>
      <c r="J138" s="340">
        <f t="shared" si="34"/>
        <v>1.5707843251855231</v>
      </c>
      <c r="K138" s="348">
        <f t="shared" si="35"/>
        <v>1.6169523833610806</v>
      </c>
      <c r="L138" s="349">
        <f t="shared" si="36"/>
        <v>0.90403091626437049</v>
      </c>
      <c r="M138" s="337">
        <f t="shared" si="37"/>
        <v>1.0000270750841564</v>
      </c>
      <c r="N138" s="340">
        <f t="shared" si="38"/>
        <v>7.3585967802424065E-3</v>
      </c>
      <c r="O138" s="341">
        <f t="shared" si="39"/>
        <v>1.0000137173352905</v>
      </c>
      <c r="P138" s="342">
        <f t="shared" si="40"/>
        <v>1.158744752519467E-2</v>
      </c>
      <c r="Q138" s="343">
        <f t="shared" si="41"/>
        <v>3.0914863866103044</v>
      </c>
      <c r="R138" s="344">
        <f t="shared" si="42"/>
        <v>-47.498650029541864</v>
      </c>
      <c r="S138" s="346">
        <f t="shared" si="43"/>
        <v>132.50134997045814</v>
      </c>
      <c r="U138" s="319">
        <f t="shared" si="50"/>
        <v>1000000000</v>
      </c>
      <c r="V138" s="319">
        <f t="shared" si="51"/>
        <v>58892578.222499996</v>
      </c>
      <c r="X138" s="345">
        <f t="shared" si="44"/>
        <v>3.4657235950432379</v>
      </c>
      <c r="Y138" s="346">
        <f t="shared" si="45"/>
        <v>-38.623772889922911</v>
      </c>
      <c r="AA138" s="345">
        <f t="shared" si="46"/>
        <v>32.849391660499442</v>
      </c>
      <c r="AB138" s="346">
        <f t="shared" si="47"/>
        <v>-8.8748771396189561</v>
      </c>
      <c r="AD138">
        <f t="shared" si="52"/>
        <v>0</v>
      </c>
      <c r="AE138">
        <f t="shared" si="53"/>
        <v>0</v>
      </c>
    </row>
    <row r="139" spans="1:31" x14ac:dyDescent="0.2">
      <c r="A139" s="347">
        <v>7762.5</v>
      </c>
      <c r="B139" s="364">
        <f t="shared" si="49"/>
        <v>7.7625000000000002</v>
      </c>
      <c r="C139" s="337">
        <f t="shared" si="27"/>
        <v>1.010663556556777</v>
      </c>
      <c r="D139" s="338">
        <f t="shared" si="28"/>
        <v>0.14539361310555074</v>
      </c>
      <c r="E139" s="338">
        <f t="shared" si="29"/>
        <v>1.0000001050965963</v>
      </c>
      <c r="F139" s="339">
        <f t="shared" si="30"/>
        <v>4.5846829125544556E-4</v>
      </c>
      <c r="G139" s="338">
        <f t="shared" si="31"/>
        <v>1</v>
      </c>
      <c r="H139" s="339">
        <f t="shared" si="32"/>
        <v>0</v>
      </c>
      <c r="I139" s="337">
        <f t="shared" si="33"/>
        <v>84281.419618061205</v>
      </c>
      <c r="J139" s="340">
        <f t="shared" si="34"/>
        <v>1.5707844617835507</v>
      </c>
      <c r="K139" s="348">
        <f t="shared" si="35"/>
        <v>1.6284729777107365</v>
      </c>
      <c r="L139" s="349">
        <f t="shared" si="36"/>
        <v>0.90958643287274477</v>
      </c>
      <c r="M139" s="337">
        <f t="shared" si="37"/>
        <v>1.0000277020773751</v>
      </c>
      <c r="N139" s="340">
        <f t="shared" si="38"/>
        <v>7.4433108071579948E-3</v>
      </c>
      <c r="O139" s="341">
        <f t="shared" si="39"/>
        <v>1.000014035031449</v>
      </c>
      <c r="P139" s="342">
        <f t="shared" si="40"/>
        <v>1.1720852401058936E-2</v>
      </c>
      <c r="Q139" s="343">
        <f t="shared" si="41"/>
        <v>3.0516543034728993</v>
      </c>
      <c r="R139" s="344">
        <f t="shared" si="42"/>
        <v>-47.286054303697611</v>
      </c>
      <c r="S139" s="346">
        <f t="shared" si="43"/>
        <v>132.7139456963024</v>
      </c>
      <c r="U139" s="319">
        <f t="shared" si="50"/>
        <v>1000000000</v>
      </c>
      <c r="V139" s="319">
        <f t="shared" si="51"/>
        <v>60256406.25</v>
      </c>
      <c r="X139" s="345">
        <f t="shared" si="44"/>
        <v>3.42795807228533</v>
      </c>
      <c r="Y139" s="346">
        <f t="shared" si="45"/>
        <v>-38.310326817588368</v>
      </c>
      <c r="AA139" s="345">
        <f t="shared" si="46"/>
        <v>32.847325100119946</v>
      </c>
      <c r="AB139" s="346">
        <f t="shared" si="47"/>
        <v>-8.9757274861092373</v>
      </c>
      <c r="AD139">
        <f t="shared" si="52"/>
        <v>0</v>
      </c>
      <c r="AE139">
        <f t="shared" si="53"/>
        <v>0</v>
      </c>
    </row>
    <row r="140" spans="1:31" x14ac:dyDescent="0.2">
      <c r="A140" s="347">
        <v>7852.9</v>
      </c>
      <c r="B140" s="364">
        <f t="shared" si="49"/>
        <v>7.8529</v>
      </c>
      <c r="C140" s="337">
        <f t="shared" si="27"/>
        <v>1.0109120241868756</v>
      </c>
      <c r="D140" s="338">
        <f t="shared" si="28"/>
        <v>0.14706265713069558</v>
      </c>
      <c r="E140" s="338">
        <f t="shared" si="29"/>
        <v>1.0000001075587033</v>
      </c>
      <c r="F140" s="339">
        <f t="shared" si="30"/>
        <v>4.6380748966059002E-4</v>
      </c>
      <c r="G140" s="338">
        <f t="shared" si="31"/>
        <v>1</v>
      </c>
      <c r="H140" s="339">
        <f t="shared" si="32"/>
        <v>0</v>
      </c>
      <c r="I140" s="337">
        <f t="shared" si="33"/>
        <v>85262.938501462981</v>
      </c>
      <c r="J140" s="340">
        <f t="shared" si="34"/>
        <v>1.5707845983696558</v>
      </c>
      <c r="K140" s="348">
        <f t="shared" si="35"/>
        <v>1.6403121698101188</v>
      </c>
      <c r="L140" s="349">
        <f t="shared" si="36"/>
        <v>0.91518990336679729</v>
      </c>
      <c r="M140" s="337">
        <f t="shared" si="37"/>
        <v>1.0000283510471932</v>
      </c>
      <c r="N140" s="340">
        <f t="shared" si="38"/>
        <v>7.5299903573828077E-3</v>
      </c>
      <c r="O140" s="341">
        <f t="shared" si="39"/>
        <v>1.0000143638648198</v>
      </c>
      <c r="P140" s="342">
        <f t="shared" si="40"/>
        <v>1.1857352776383064E-2</v>
      </c>
      <c r="Q140" s="343">
        <f t="shared" si="41"/>
        <v>3.0118606360439202</v>
      </c>
      <c r="R140" s="344">
        <f t="shared" si="42"/>
        <v>-47.073117452060082</v>
      </c>
      <c r="S140" s="346">
        <f t="shared" si="43"/>
        <v>132.92688254793993</v>
      </c>
      <c r="U140" s="319">
        <f t="shared" si="50"/>
        <v>1000000000</v>
      </c>
      <c r="V140" s="319">
        <f t="shared" si="51"/>
        <v>61668038.409999996</v>
      </c>
      <c r="X140" s="345">
        <f t="shared" si="44"/>
        <v>3.3903023687399676</v>
      </c>
      <c r="Y140" s="346">
        <f t="shared" si="45"/>
        <v>-37.994245805497229</v>
      </c>
      <c r="AA140" s="345">
        <f t="shared" si="46"/>
        <v>32.845187136236326</v>
      </c>
      <c r="AB140" s="346">
        <f t="shared" si="47"/>
        <v>-9.078871646562849</v>
      </c>
      <c r="AD140">
        <f t="shared" si="52"/>
        <v>0</v>
      </c>
      <c r="AE140">
        <f t="shared" si="53"/>
        <v>0</v>
      </c>
    </row>
    <row r="141" spans="1:31" x14ac:dyDescent="0.2">
      <c r="A141" s="347">
        <v>7943.3</v>
      </c>
      <c r="B141" s="364">
        <f t="shared" si="49"/>
        <v>7.9432999999999998</v>
      </c>
      <c r="C141" s="337">
        <f t="shared" ref="C141:C204" si="54">SQRT(1+(A141/pole1)^2)</f>
        <v>1.0111633065340975</v>
      </c>
      <c r="D141" s="338">
        <f t="shared" ref="D141:D204" si="55">ATAN(A141/pole1)</f>
        <v>0.14873087625892981</v>
      </c>
      <c r="E141" s="338">
        <f t="shared" ref="E141:E204" si="56">SQRT(1+(A141/Zero1)^2)</f>
        <v>1.0000001100493174</v>
      </c>
      <c r="F141" s="339">
        <f t="shared" ref="F141:F204" si="57">ATAN(A141/Zero1)</f>
        <v>4.6914668803929094E-4</v>
      </c>
      <c r="G141" s="338">
        <f t="shared" ref="G141:G204" si="58">IF(VIN_nom&gt;Vout, 1, SQRT(1+(A141/z_RHP)^2))</f>
        <v>1</v>
      </c>
      <c r="H141" s="339">
        <f t="shared" ref="H141:H204" si="59">IF(VIN_nom&gt;Vout, 0, -ATAN(A141/z_RHP))</f>
        <v>0</v>
      </c>
      <c r="I141" s="337">
        <f t="shared" ref="I141:I204" si="60">SQRT(1+(A141/Pole2)^2)</f>
        <v>86244.457384866313</v>
      </c>
      <c r="J141" s="340">
        <f t="shared" ref="J141:J204" si="61">ATAN(A141/Pole2)</f>
        <v>1.5707847318468808</v>
      </c>
      <c r="K141" s="348">
        <f t="shared" ref="K141:K147" si="62">SQRT(1+(A141/Zero2)^2)</f>
        <v>1.6522021268172269</v>
      </c>
      <c r="L141" s="349">
        <f t="shared" ref="L141:L147" si="63">ATAN(A141/Zero2)</f>
        <v>0.92071289523989575</v>
      </c>
      <c r="M141" s="337">
        <f t="shared" ref="M141:M204" si="64">SQRT(1+(A141/pole4)^2)</f>
        <v>1.0000290075305589</v>
      </c>
      <c r="N141" s="340">
        <f t="shared" ref="N141:N204" si="65">ATAN(A141/pole4)</f>
        <v>7.6166697944548096E-3</v>
      </c>
      <c r="O141" s="341">
        <f t="shared" ref="O141:O204" si="66">SQRT((1-(V141/pterm2))^2+(A141/pterm1)^2)</f>
        <v>1.0000146965070844</v>
      </c>
      <c r="P141" s="342">
        <f t="shared" ref="P141:P204" si="67">IF((ATAN((A141/pterm1)/(1-A141^2/pterm2))&gt;0),ATAN((A141/pterm1)/(1-A141^2/pterm2)),PI()+ATAN((A141/pterm1)/(1-A141^2/pterm2)))</f>
        <v>1.199385323719279E-2</v>
      </c>
      <c r="Q141" s="343">
        <f t="shared" ref="Q141:Q204" si="68">20*LOG10(((E141*K141*G141)/(C141*I141*O141*M141))*Adc)</f>
        <v>2.9730087199322193</v>
      </c>
      <c r="R141" s="344">
        <f t="shared" ref="R141:R204" si="69">((F141+L141+H141)-(D141+J141+P141+N141))*radconv</f>
        <v>-46.864744242928559</v>
      </c>
      <c r="S141" s="346">
        <f t="shared" ref="S141:S204" si="70">IF(R141&gt;0,R141,R141+180)</f>
        <v>133.13525575707143</v>
      </c>
      <c r="U141" s="319">
        <f t="shared" si="50"/>
        <v>1000000000</v>
      </c>
      <c r="V141" s="319">
        <f t="shared" si="51"/>
        <v>63096014.890000001</v>
      </c>
      <c r="X141" s="345">
        <f t="shared" ref="X141:X204" si="71">20*LOG10((K141/(I141*M141))*AEA)</f>
        <v>3.3536121030718813</v>
      </c>
      <c r="Y141" s="346">
        <f t="shared" ref="Y141:Y204" si="72">(L141-(J141+N141))*radconv</f>
        <v>-37.682775694124182</v>
      </c>
      <c r="AA141" s="345">
        <f t="shared" ref="AA141:AA204" si="73">20*LOG10((E141*G141/(C141*O141))*Acs*Am)</f>
        <v>32.843025485792715</v>
      </c>
      <c r="AB141" s="346">
        <f t="shared" ref="AB141:AB204" si="74">(F141+H141-(D141+P141))*radconv</f>
        <v>-9.1819685488043756</v>
      </c>
      <c r="AD141">
        <f t="shared" si="52"/>
        <v>0</v>
      </c>
      <c r="AE141">
        <f t="shared" si="53"/>
        <v>0</v>
      </c>
    </row>
    <row r="142" spans="1:31" x14ac:dyDescent="0.2">
      <c r="A142" s="347">
        <v>8035.8</v>
      </c>
      <c r="B142" s="364">
        <f t="shared" ref="B142:B205" si="75">A142/1000</f>
        <v>8.0358000000000001</v>
      </c>
      <c r="C142" s="337">
        <f t="shared" si="54"/>
        <v>1.0114233375597339</v>
      </c>
      <c r="D142" s="338">
        <f t="shared" si="55"/>
        <v>0.15043698536153877</v>
      </c>
      <c r="E142" s="338">
        <f t="shared" si="56"/>
        <v>1.0000001126272968</v>
      </c>
      <c r="F142" s="339">
        <f t="shared" si="57"/>
        <v>4.7460991644113486E-4</v>
      </c>
      <c r="G142" s="338">
        <f t="shared" si="58"/>
        <v>1</v>
      </c>
      <c r="H142" s="339">
        <f t="shared" si="59"/>
        <v>0</v>
      </c>
      <c r="I142" s="337">
        <f t="shared" si="60"/>
        <v>87248.777038792745</v>
      </c>
      <c r="J142" s="340">
        <f t="shared" si="61"/>
        <v>1.5707848653161922</v>
      </c>
      <c r="K142" s="348">
        <f t="shared" si="62"/>
        <v>1.664419701208889</v>
      </c>
      <c r="L142" s="349">
        <f t="shared" si="63"/>
        <v>0.92628233361608725</v>
      </c>
      <c r="M142" s="337">
        <f t="shared" si="64"/>
        <v>1.0000296870414613</v>
      </c>
      <c r="N142" s="340">
        <f t="shared" si="65"/>
        <v>7.7053626840361249E-3</v>
      </c>
      <c r="O142" s="341">
        <f t="shared" si="66"/>
        <v>1.0000150408193571</v>
      </c>
      <c r="P142" s="342">
        <f t="shared" si="67"/>
        <v>1.2133524705300165E-2</v>
      </c>
      <c r="Q142" s="343">
        <f t="shared" si="68"/>
        <v>2.9341968074909515</v>
      </c>
      <c r="R142" s="344">
        <f t="shared" si="69"/>
        <v>-46.656170721629692</v>
      </c>
      <c r="S142" s="346">
        <f t="shared" si="70"/>
        <v>133.34382927837032</v>
      </c>
      <c r="U142" s="319">
        <f t="shared" ref="U142:U205" si="76">IF(Q142&lt;0,A142,1000000000)</f>
        <v>1000000000</v>
      </c>
      <c r="V142" s="319">
        <f t="shared" ref="V142:V205" si="77">A142^2</f>
        <v>64574081.640000001</v>
      </c>
      <c r="X142" s="345">
        <f t="shared" si="71"/>
        <v>3.3170365373929922</v>
      </c>
      <c r="Y142" s="346">
        <f t="shared" si="72"/>
        <v>-37.368759756025469</v>
      </c>
      <c r="AA142" s="345">
        <f t="shared" si="73"/>
        <v>32.840789139030342</v>
      </c>
      <c r="AB142" s="346">
        <f t="shared" si="74"/>
        <v>-9.287410965604213</v>
      </c>
      <c r="AD142">
        <f t="shared" ref="AD142:AD205" si="78">SUM((Q143&lt;0)*(Q142&gt;0))*A142</f>
        <v>0</v>
      </c>
      <c r="AE142">
        <f t="shared" si="53"/>
        <v>0</v>
      </c>
    </row>
    <row r="143" spans="1:31" x14ac:dyDescent="0.2">
      <c r="A143" s="347">
        <v>8128.3</v>
      </c>
      <c r="B143" s="364">
        <f t="shared" si="75"/>
        <v>8.1282999999999994</v>
      </c>
      <c r="C143" s="337">
        <f t="shared" si="54"/>
        <v>1.0116863111263807</v>
      </c>
      <c r="D143" s="338">
        <f t="shared" si="55"/>
        <v>0.15214221246767226</v>
      </c>
      <c r="E143" s="338">
        <f t="shared" si="56"/>
        <v>1.0000001152351232</v>
      </c>
      <c r="F143" s="339">
        <f t="shared" si="57"/>
        <v>4.8007314481464749E-4</v>
      </c>
      <c r="G143" s="338">
        <f t="shared" si="58"/>
        <v>1</v>
      </c>
      <c r="H143" s="339">
        <f t="shared" si="59"/>
        <v>0</v>
      </c>
      <c r="I143" s="337">
        <f t="shared" si="60"/>
        <v>88253.09669272069</v>
      </c>
      <c r="J143" s="340">
        <f t="shared" si="61"/>
        <v>1.5707849957477436</v>
      </c>
      <c r="K143" s="348">
        <f t="shared" si="62"/>
        <v>1.6766881503170117</v>
      </c>
      <c r="L143" s="349">
        <f t="shared" si="63"/>
        <v>0.93177043618856803</v>
      </c>
      <c r="M143" s="337">
        <f t="shared" si="64"/>
        <v>1.0000303744190153</v>
      </c>
      <c r="N143" s="340">
        <f t="shared" si="65"/>
        <v>7.7940554523878375E-3</v>
      </c>
      <c r="O143" s="341">
        <f t="shared" si="66"/>
        <v>1.0000153891196562</v>
      </c>
      <c r="P143" s="342">
        <f t="shared" si="67"/>
        <v>1.2273196264994306E-2</v>
      </c>
      <c r="Q143" s="343">
        <f t="shared" si="68"/>
        <v>2.8963066127422534</v>
      </c>
      <c r="R143" s="344">
        <f t="shared" si="69"/>
        <v>-46.452206688188788</v>
      </c>
      <c r="S143" s="346">
        <f t="shared" si="70"/>
        <v>133.5477933118112</v>
      </c>
      <c r="U143" s="319">
        <f t="shared" si="76"/>
        <v>1000000000</v>
      </c>
      <c r="V143" s="319">
        <f t="shared" si="77"/>
        <v>66069260.890000001</v>
      </c>
      <c r="X143" s="345">
        <f t="shared" si="71"/>
        <v>3.2814074130584814</v>
      </c>
      <c r="Y143" s="346">
        <f t="shared" si="72"/>
        <v>-37.059403835211228</v>
      </c>
      <c r="AA143" s="345">
        <f t="shared" si="73"/>
        <v>32.838528068616156</v>
      </c>
      <c r="AB143" s="346">
        <f t="shared" si="74"/>
        <v>-9.392802852977562</v>
      </c>
      <c r="AD143">
        <f t="shared" si="78"/>
        <v>0</v>
      </c>
      <c r="AE143">
        <f t="shared" si="53"/>
        <v>0</v>
      </c>
    </row>
    <row r="144" spans="1:31" x14ac:dyDescent="0.2">
      <c r="A144" s="347">
        <v>8222.9500000000007</v>
      </c>
      <c r="B144" s="364">
        <f t="shared" si="75"/>
        <v>8.2229500000000009</v>
      </c>
      <c r="C144" s="337">
        <f t="shared" si="54"/>
        <v>1.0119584405856086</v>
      </c>
      <c r="D144" s="338">
        <f t="shared" si="55"/>
        <v>0.15388615197345762</v>
      </c>
      <c r="E144" s="338">
        <f t="shared" si="56"/>
        <v>1.0000001179344595</v>
      </c>
      <c r="F144" s="339">
        <f t="shared" si="57"/>
        <v>4.8566335630447231E-4</v>
      </c>
      <c r="G144" s="338">
        <f t="shared" si="58"/>
        <v>1</v>
      </c>
      <c r="H144" s="339">
        <f t="shared" si="59"/>
        <v>0</v>
      </c>
      <c r="I144" s="337">
        <f t="shared" si="60"/>
        <v>89280.759992660387</v>
      </c>
      <c r="J144" s="340">
        <f t="shared" si="61"/>
        <v>1.5707851261733954</v>
      </c>
      <c r="K144" s="348">
        <f t="shared" si="62"/>
        <v>1.6892932638803908</v>
      </c>
      <c r="L144" s="349">
        <f t="shared" si="63"/>
        <v>0.93730341412678542</v>
      </c>
      <c r="M144" s="337">
        <f t="shared" si="64"/>
        <v>1.0000310859164823</v>
      </c>
      <c r="N144" s="340">
        <f t="shared" si="65"/>
        <v>7.8848096013839179E-3</v>
      </c>
      <c r="O144" s="341">
        <f t="shared" si="66"/>
        <v>1.0000157496437898</v>
      </c>
      <c r="P144" s="342">
        <f t="shared" si="67"/>
        <v>1.2416114340628327E-2</v>
      </c>
      <c r="Q144" s="343">
        <f t="shared" si="68"/>
        <v>2.8584578552183522</v>
      </c>
      <c r="R144" s="344">
        <f t="shared" si="69"/>
        <v>-46.248186386939608</v>
      </c>
      <c r="S144" s="346">
        <f t="shared" si="70"/>
        <v>133.75181361306039</v>
      </c>
      <c r="U144" s="319">
        <f t="shared" si="76"/>
        <v>1000000000</v>
      </c>
      <c r="V144" s="319">
        <f t="shared" si="77"/>
        <v>67616906.702500015</v>
      </c>
      <c r="X144" s="345">
        <f t="shared" si="71"/>
        <v>3.2458978320960719</v>
      </c>
      <c r="Y144" s="346">
        <f t="shared" si="72"/>
        <v>-36.747594853406248</v>
      </c>
      <c r="AA144" s="345">
        <f t="shared" si="73"/>
        <v>32.836188892054658</v>
      </c>
      <c r="AB144" s="346">
        <f t="shared" si="74"/>
        <v>-9.5005915335333686</v>
      </c>
      <c r="AD144">
        <f t="shared" si="78"/>
        <v>0</v>
      </c>
      <c r="AE144">
        <f t="shared" si="53"/>
        <v>0</v>
      </c>
    </row>
    <row r="145" spans="1:31" x14ac:dyDescent="0.2">
      <c r="A145" s="347">
        <v>8270.2750000000015</v>
      </c>
      <c r="B145" s="364">
        <f t="shared" si="75"/>
        <v>8.2702750000000016</v>
      </c>
      <c r="C145" s="337">
        <f t="shared" si="54"/>
        <v>1.01209565898423</v>
      </c>
      <c r="D145" s="338">
        <f t="shared" si="55"/>
        <v>0.15475776872176558</v>
      </c>
      <c r="E145" s="338">
        <f t="shared" si="56"/>
        <v>1.0000001192958463</v>
      </c>
      <c r="F145" s="339">
        <f t="shared" si="57"/>
        <v>4.8845846203802372E-4</v>
      </c>
      <c r="G145" s="338">
        <f t="shared" si="58"/>
        <v>1</v>
      </c>
      <c r="H145" s="339">
        <f t="shared" si="59"/>
        <v>0</v>
      </c>
      <c r="I145" s="337">
        <f t="shared" si="60"/>
        <v>89794.591642630781</v>
      </c>
      <c r="J145" s="340">
        <f t="shared" si="61"/>
        <v>1.5707851902667191</v>
      </c>
      <c r="K145" s="348">
        <f t="shared" si="62"/>
        <v>1.695614997658575</v>
      </c>
      <c r="L145" s="349">
        <f t="shared" si="63"/>
        <v>0.94003901235932463</v>
      </c>
      <c r="M145" s="337">
        <f t="shared" si="64"/>
        <v>1.0000314447539267</v>
      </c>
      <c r="N145" s="340">
        <f t="shared" si="65"/>
        <v>7.9301866272680991E-3</v>
      </c>
      <c r="O145" s="341">
        <f t="shared" si="66"/>
        <v>1.0000159314717387</v>
      </c>
      <c r="P145" s="342">
        <f t="shared" si="67"/>
        <v>1.2487573415171937E-2</v>
      </c>
      <c r="Q145" s="343">
        <f t="shared" si="68"/>
        <v>2.8398734247989084</v>
      </c>
      <c r="R145" s="344">
        <f t="shared" si="69"/>
        <v>-46.147925854652463</v>
      </c>
      <c r="S145" s="346">
        <f t="shared" si="70"/>
        <v>133.85207414534753</v>
      </c>
      <c r="U145" s="319">
        <f t="shared" si="76"/>
        <v>1000000000</v>
      </c>
      <c r="V145" s="319">
        <f t="shared" si="77"/>
        <v>68397448.575625017</v>
      </c>
      <c r="X145" s="345">
        <f t="shared" si="71"/>
        <v>3.2284926687808961</v>
      </c>
      <c r="Y145" s="346">
        <f t="shared" si="72"/>
        <v>-36.593460204409141</v>
      </c>
      <c r="AA145" s="345">
        <f t="shared" si="73"/>
        <v>32.835009624950388</v>
      </c>
      <c r="AB145" s="346">
        <f t="shared" si="74"/>
        <v>-9.5544656502433263</v>
      </c>
      <c r="AD145">
        <f t="shared" si="78"/>
        <v>0</v>
      </c>
      <c r="AE145">
        <f t="shared" si="53"/>
        <v>0</v>
      </c>
    </row>
    <row r="146" spans="1:31" x14ac:dyDescent="0.2">
      <c r="A146" s="347">
        <v>8317.6</v>
      </c>
      <c r="B146" s="364">
        <f t="shared" si="75"/>
        <v>8.3176000000000005</v>
      </c>
      <c r="C146" s="337">
        <f t="shared" si="54"/>
        <v>1.012233646079064</v>
      </c>
      <c r="D146" s="338">
        <f t="shared" si="55"/>
        <v>0.15562914849536025</v>
      </c>
      <c r="E146" s="338">
        <f t="shared" si="56"/>
        <v>1.000000120665046</v>
      </c>
      <c r="F146" s="339">
        <f t="shared" si="57"/>
        <v>4.9125356776394261E-4</v>
      </c>
      <c r="G146" s="338">
        <f t="shared" si="58"/>
        <v>1</v>
      </c>
      <c r="H146" s="339">
        <f t="shared" si="59"/>
        <v>0</v>
      </c>
      <c r="I146" s="337">
        <f t="shared" si="60"/>
        <v>90308.423292601539</v>
      </c>
      <c r="J146" s="340">
        <f t="shared" si="61"/>
        <v>1.5707852536306937</v>
      </c>
      <c r="K146" s="348">
        <f t="shared" si="62"/>
        <v>1.70194932624731</v>
      </c>
      <c r="L146" s="349">
        <f t="shared" si="63"/>
        <v>0.9427542680430514</v>
      </c>
      <c r="M146" s="337">
        <f t="shared" si="64"/>
        <v>1.0000318056505089</v>
      </c>
      <c r="N146" s="340">
        <f t="shared" si="65"/>
        <v>7.9755636204939303E-3</v>
      </c>
      <c r="O146" s="341">
        <f t="shared" si="66"/>
        <v>1.0000161143436193</v>
      </c>
      <c r="P146" s="342">
        <f t="shared" si="67"/>
        <v>1.255903251438807E-2</v>
      </c>
      <c r="Q146" s="343">
        <f t="shared" si="68"/>
        <v>2.8215104949796426</v>
      </c>
      <c r="R146" s="344">
        <f t="shared" si="69"/>
        <v>-46.048817244661457</v>
      </c>
      <c r="S146" s="346">
        <f t="shared" si="70"/>
        <v>133.95118275533855</v>
      </c>
      <c r="U146" s="319">
        <f t="shared" si="76"/>
        <v>1000000000</v>
      </c>
      <c r="V146" s="319">
        <f t="shared" si="77"/>
        <v>69182469.760000005</v>
      </c>
      <c r="X146" s="345">
        <f t="shared" si="71"/>
        <v>3.2113154515235953</v>
      </c>
      <c r="Y146" s="346">
        <f t="shared" si="72"/>
        <v>-36.440491053945038</v>
      </c>
      <c r="AA146" s="345">
        <f t="shared" si="73"/>
        <v>32.833823912388425</v>
      </c>
      <c r="AB146" s="346">
        <f t="shared" si="74"/>
        <v>-9.6083261907164133</v>
      </c>
      <c r="AD146">
        <f t="shared" si="78"/>
        <v>0</v>
      </c>
      <c r="AE146">
        <f t="shared" si="53"/>
        <v>0</v>
      </c>
    </row>
    <row r="147" spans="1:31" x14ac:dyDescent="0.2">
      <c r="A147" s="347">
        <v>8366.0499999999993</v>
      </c>
      <c r="B147" s="364">
        <f t="shared" si="75"/>
        <v>8.3660499999999995</v>
      </c>
      <c r="C147" s="337">
        <f t="shared" si="54"/>
        <v>1.0123757093693773</v>
      </c>
      <c r="D147" s="338">
        <f t="shared" si="55"/>
        <v>0.1565209957547779</v>
      </c>
      <c r="E147" s="338">
        <f t="shared" si="56"/>
        <v>1.0000001220748873</v>
      </c>
      <c r="F147" s="339">
        <f t="shared" si="57"/>
        <v>4.9411511815051297E-4</v>
      </c>
      <c r="G147" s="338">
        <f t="shared" si="58"/>
        <v>1</v>
      </c>
      <c r="H147" s="339">
        <f t="shared" si="59"/>
        <v>0</v>
      </c>
      <c r="I147" s="337">
        <f t="shared" si="60"/>
        <v>90834.469641066418</v>
      </c>
      <c r="J147" s="340">
        <f t="shared" si="61"/>
        <v>1.5707853177583053</v>
      </c>
      <c r="K147" s="348">
        <f t="shared" si="62"/>
        <v>1.708447134363005</v>
      </c>
      <c r="L147" s="349">
        <f t="shared" si="63"/>
        <v>0.94551319124849043</v>
      </c>
      <c r="M147" s="337">
        <f t="shared" si="64"/>
        <v>1.0000321772593905</v>
      </c>
      <c r="N147" s="340">
        <f t="shared" si="65"/>
        <v>8.0220192720830506E-3</v>
      </c>
      <c r="O147" s="341">
        <f t="shared" si="66"/>
        <v>1.0000163026441515</v>
      </c>
      <c r="P147" s="342">
        <f t="shared" si="67"/>
        <v>1.2632190350068701E-2</v>
      </c>
      <c r="Q147" s="343">
        <f t="shared" si="68"/>
        <v>2.8029365873423768</v>
      </c>
      <c r="R147" s="344">
        <f t="shared" si="69"/>
        <v>-45.94853474028433</v>
      </c>
      <c r="S147" s="346">
        <f t="shared" si="70"/>
        <v>134.05146525971566</v>
      </c>
      <c r="U147" s="319">
        <f t="shared" si="76"/>
        <v>1000000000</v>
      </c>
      <c r="V147" s="319">
        <f t="shared" si="77"/>
        <v>69990792.602499992</v>
      </c>
      <c r="X147" s="345">
        <f t="shared" si="71"/>
        <v>3.1939621144812391</v>
      </c>
      <c r="Y147" s="346">
        <f t="shared" si="72"/>
        <v>-36.285081785107181</v>
      </c>
      <c r="AA147" s="345">
        <f t="shared" si="73"/>
        <v>32.832603341793515</v>
      </c>
      <c r="AB147" s="346">
        <f t="shared" si="74"/>
        <v>-9.663452955177144</v>
      </c>
      <c r="AD147">
        <f t="shared" si="78"/>
        <v>0</v>
      </c>
      <c r="AE147">
        <f t="shared" si="53"/>
        <v>0</v>
      </c>
    </row>
    <row r="148" spans="1:31" x14ac:dyDescent="0.2">
      <c r="A148" s="350">
        <v>8414.5</v>
      </c>
      <c r="B148" s="364">
        <f t="shared" si="75"/>
        <v>8.4145000000000003</v>
      </c>
      <c r="C148" s="337">
        <f t="shared" si="54"/>
        <v>1.0125185776684258</v>
      </c>
      <c r="D148" s="338">
        <f t="shared" si="55"/>
        <v>0.15741259204050481</v>
      </c>
      <c r="E148" s="338">
        <f t="shared" si="56"/>
        <v>1.0000001234929172</v>
      </c>
      <c r="F148" s="339">
        <f t="shared" si="57"/>
        <v>4.9697666852899117E-4</v>
      </c>
      <c r="G148" s="338">
        <f t="shared" si="58"/>
        <v>1</v>
      </c>
      <c r="H148" s="339">
        <f t="shared" si="59"/>
        <v>0</v>
      </c>
      <c r="I148" s="337">
        <f t="shared" si="60"/>
        <v>91360.515989531676</v>
      </c>
      <c r="J148" s="340">
        <f t="shared" si="61"/>
        <v>1.5707853811474342</v>
      </c>
      <c r="K148" s="348">
        <f t="shared" ref="K148:K157" si="79">SQRT(1+(A148/Zero2)^2)</f>
        <v>1.7149578479925951</v>
      </c>
      <c r="L148" s="349">
        <f t="shared" ref="L148:L157" si="80">ATAN(A148/Zero2)</f>
        <v>0.94825118705762079</v>
      </c>
      <c r="M148" s="337">
        <f t="shared" si="64"/>
        <v>1.0000325510264674</v>
      </c>
      <c r="N148" s="340">
        <f t="shared" si="65"/>
        <v>8.0684748890463738E-3</v>
      </c>
      <c r="O148" s="341">
        <f t="shared" si="66"/>
        <v>1.0000164920388548</v>
      </c>
      <c r="P148" s="342">
        <f t="shared" si="67"/>
        <v>1.2705348211908097E-2</v>
      </c>
      <c r="Q148" s="343">
        <f t="shared" si="68"/>
        <v>2.7845869534489487</v>
      </c>
      <c r="R148" s="344">
        <f t="shared" si="69"/>
        <v>-45.849436864863371</v>
      </c>
      <c r="S148" s="346">
        <f t="shared" si="70"/>
        <v>134.15056313513662</v>
      </c>
      <c r="U148" s="319">
        <f t="shared" si="76"/>
        <v>1000000000</v>
      </c>
      <c r="V148" s="319">
        <f t="shared" si="77"/>
        <v>70803810.25</v>
      </c>
      <c r="X148" s="345">
        <f t="shared" si="71"/>
        <v>3.1768397953455856</v>
      </c>
      <c r="Y148" s="346">
        <f t="shared" si="72"/>
        <v>-36.130871523459518</v>
      </c>
      <c r="AA148" s="345">
        <f t="shared" si="73"/>
        <v>32.831376027035745</v>
      </c>
      <c r="AB148" s="346">
        <f t="shared" si="74"/>
        <v>-9.718565341403858</v>
      </c>
      <c r="AD148">
        <f t="shared" si="78"/>
        <v>0</v>
      </c>
      <c r="AE148">
        <f t="shared" si="53"/>
        <v>0</v>
      </c>
    </row>
    <row r="149" spans="1:31" x14ac:dyDescent="0.2">
      <c r="A149" s="350">
        <v>8462.9500000000007</v>
      </c>
      <c r="B149" s="364">
        <f t="shared" si="75"/>
        <v>8.4629500000000011</v>
      </c>
      <c r="C149" s="337">
        <f t="shared" si="54"/>
        <v>1.0126622506354925</v>
      </c>
      <c r="D149" s="338">
        <f t="shared" si="55"/>
        <v>0.15830393604152759</v>
      </c>
      <c r="E149" s="338">
        <f t="shared" si="56"/>
        <v>1.0000001249191355</v>
      </c>
      <c r="F149" s="339">
        <f t="shared" si="57"/>
        <v>4.9983821889933047E-4</v>
      </c>
      <c r="G149" s="338">
        <f t="shared" si="58"/>
        <v>1</v>
      </c>
      <c r="H149" s="339">
        <f t="shared" si="59"/>
        <v>0</v>
      </c>
      <c r="I149" s="337">
        <f t="shared" si="60"/>
        <v>91886.562337997311</v>
      </c>
      <c r="J149" s="340">
        <f t="shared" si="61"/>
        <v>1.5707854438107629</v>
      </c>
      <c r="K149" s="348">
        <f t="shared" si="79"/>
        <v>1.7214813207085227</v>
      </c>
      <c r="L149" s="349">
        <f t="shared" si="80"/>
        <v>0.95096845209533409</v>
      </c>
      <c r="M149" s="337">
        <f t="shared" si="64"/>
        <v>1.0000329269517374</v>
      </c>
      <c r="N149" s="340">
        <f t="shared" si="65"/>
        <v>8.1149304711834215E-3</v>
      </c>
      <c r="O149" s="341">
        <f t="shared" si="66"/>
        <v>1.0000166825277383</v>
      </c>
      <c r="P149" s="342">
        <f t="shared" si="67"/>
        <v>1.277850610005765E-2</v>
      </c>
      <c r="Q149" s="343">
        <f t="shared" si="68"/>
        <v>2.7664577238035908</v>
      </c>
      <c r="R149" s="344">
        <f t="shared" si="69"/>
        <v>-45.751512278230486</v>
      </c>
      <c r="S149" s="346">
        <f t="shared" si="70"/>
        <v>134.24848772176952</v>
      </c>
      <c r="U149" s="319">
        <f t="shared" si="76"/>
        <v>1000000000</v>
      </c>
      <c r="V149" s="319">
        <f t="shared" si="77"/>
        <v>71621522.702500015</v>
      </c>
      <c r="X149" s="345">
        <f t="shared" si="71"/>
        <v>3.1599446188236806</v>
      </c>
      <c r="Y149" s="346">
        <f t="shared" si="72"/>
        <v>-35.977849003940783</v>
      </c>
      <c r="AA149" s="345">
        <f t="shared" si="73"/>
        <v>32.830141973912291</v>
      </c>
      <c r="AB149" s="346">
        <f t="shared" si="74"/>
        <v>-9.7736632742897029</v>
      </c>
      <c r="AD149">
        <f t="shared" si="78"/>
        <v>0</v>
      </c>
      <c r="AE149">
        <f t="shared" si="53"/>
        <v>0</v>
      </c>
    </row>
    <row r="150" spans="1:31" x14ac:dyDescent="0.2">
      <c r="A150" s="350">
        <v>8511.4</v>
      </c>
      <c r="B150" s="364">
        <f t="shared" si="75"/>
        <v>8.5114000000000001</v>
      </c>
      <c r="C150" s="337">
        <f t="shared" si="54"/>
        <v>1.0128067279281365</v>
      </c>
      <c r="D150" s="338">
        <f t="shared" si="55"/>
        <v>0.1591950264491783</v>
      </c>
      <c r="E150" s="338">
        <f t="shared" si="56"/>
        <v>1.0000001263535423</v>
      </c>
      <c r="F150" s="339">
        <f t="shared" si="57"/>
        <v>5.0269976926148384E-4</v>
      </c>
      <c r="G150" s="338">
        <f t="shared" si="58"/>
        <v>1</v>
      </c>
      <c r="H150" s="339">
        <f t="shared" si="59"/>
        <v>0</v>
      </c>
      <c r="I150" s="337">
        <f t="shared" si="60"/>
        <v>92412.608686463296</v>
      </c>
      <c r="J150" s="340">
        <f t="shared" si="61"/>
        <v>1.5707855057606868</v>
      </c>
      <c r="K150" s="348">
        <f t="shared" si="79"/>
        <v>1.7280174080095556</v>
      </c>
      <c r="L150" s="349">
        <f t="shared" si="80"/>
        <v>0.95366518124490862</v>
      </c>
      <c r="M150" s="337">
        <f t="shared" si="64"/>
        <v>1.0000333050351982</v>
      </c>
      <c r="N150" s="340">
        <f t="shared" si="65"/>
        <v>8.1613860182937221E-3</v>
      </c>
      <c r="O150" s="341">
        <f t="shared" si="66"/>
        <v>1.0000168741108109</v>
      </c>
      <c r="P150" s="342">
        <f t="shared" si="67"/>
        <v>1.2851664014668746E-2</v>
      </c>
      <c r="Q150" s="343">
        <f t="shared" si="68"/>
        <v>2.7485451060719015</v>
      </c>
      <c r="R150" s="344">
        <f t="shared" si="69"/>
        <v>-45.654749740122519</v>
      </c>
      <c r="S150" s="346">
        <f t="shared" si="70"/>
        <v>134.34525025987747</v>
      </c>
      <c r="U150" s="319">
        <f t="shared" si="76"/>
        <v>1000000000</v>
      </c>
      <c r="V150" s="319">
        <f t="shared" si="77"/>
        <v>72443929.959999993</v>
      </c>
      <c r="X150" s="345">
        <f t="shared" si="71"/>
        <v>3.143272786755956</v>
      </c>
      <c r="Y150" s="346">
        <f t="shared" si="72"/>
        <v>-35.826003061260316</v>
      </c>
      <c r="AA150" s="345">
        <f t="shared" si="73"/>
        <v>32.828901188248324</v>
      </c>
      <c r="AB150" s="346">
        <f t="shared" si="74"/>
        <v>-9.8287466788621991</v>
      </c>
      <c r="AD150">
        <f t="shared" si="78"/>
        <v>0</v>
      </c>
      <c r="AE150">
        <f t="shared" si="53"/>
        <v>0</v>
      </c>
    </row>
    <row r="151" spans="1:31" x14ac:dyDescent="0.2">
      <c r="A151" s="350">
        <v>8560.9500000000007</v>
      </c>
      <c r="B151" s="364">
        <f t="shared" si="75"/>
        <v>8.5609500000000001</v>
      </c>
      <c r="C151" s="337">
        <f t="shared" si="54"/>
        <v>1.0129553169730849</v>
      </c>
      <c r="D151" s="338">
        <f t="shared" si="55"/>
        <v>0.16010608435520926</v>
      </c>
      <c r="E151" s="338">
        <f t="shared" si="56"/>
        <v>1.000000127828985</v>
      </c>
      <c r="F151" s="339">
        <f t="shared" si="57"/>
        <v>5.0562628773479922E-4</v>
      </c>
      <c r="G151" s="338">
        <f t="shared" si="58"/>
        <v>1</v>
      </c>
      <c r="H151" s="339">
        <f t="shared" si="59"/>
        <v>0</v>
      </c>
      <c r="I151" s="337">
        <f t="shared" si="60"/>
        <v>92950.598295679141</v>
      </c>
      <c r="J151" s="340">
        <f t="shared" si="61"/>
        <v>1.5707855683918486</v>
      </c>
      <c r="K151" s="348">
        <f t="shared" si="79"/>
        <v>1.7347147882858958</v>
      </c>
      <c r="L151" s="349">
        <f t="shared" si="80"/>
        <v>0.95640209717034341</v>
      </c>
      <c r="M151" s="337">
        <f t="shared" si="64"/>
        <v>1.0000336939348398</v>
      </c>
      <c r="N151" s="340">
        <f t="shared" si="65"/>
        <v>8.2088962472703121E-3</v>
      </c>
      <c r="O151" s="341">
        <f t="shared" si="66"/>
        <v>1.0000170711752945</v>
      </c>
      <c r="P151" s="342">
        <f t="shared" si="67"/>
        <v>1.2926482920812764E-2</v>
      </c>
      <c r="Q151" s="343">
        <f t="shared" si="68"/>
        <v>2.7304459750044203</v>
      </c>
      <c r="R151" s="344">
        <f t="shared" si="69"/>
        <v>-45.556980636006799</v>
      </c>
      <c r="S151" s="346">
        <f t="shared" si="70"/>
        <v>134.44301936399319</v>
      </c>
      <c r="U151" s="319">
        <f t="shared" si="76"/>
        <v>1000000000</v>
      </c>
      <c r="V151" s="319">
        <f t="shared" si="77"/>
        <v>73289864.902500018</v>
      </c>
      <c r="X151" s="345">
        <f t="shared" si="71"/>
        <v>3.1264495693822214</v>
      </c>
      <c r="Y151" s="346">
        <f t="shared" si="72"/>
        <v>-35.671915053779998</v>
      </c>
      <c r="AA151" s="345">
        <f t="shared" si="73"/>
        <v>32.827625274554578</v>
      </c>
      <c r="AB151" s="346">
        <f t="shared" si="74"/>
        <v>-9.8850655822268045</v>
      </c>
      <c r="AD151">
        <f t="shared" si="78"/>
        <v>0</v>
      </c>
      <c r="AE151">
        <f t="shared" si="53"/>
        <v>0</v>
      </c>
    </row>
    <row r="152" spans="1:31" x14ac:dyDescent="0.2">
      <c r="A152" s="350">
        <v>8610.5</v>
      </c>
      <c r="B152" s="364">
        <f t="shared" si="75"/>
        <v>8.6105</v>
      </c>
      <c r="C152" s="337">
        <f t="shared" si="54"/>
        <v>1.0131047465507614</v>
      </c>
      <c r="D152" s="338">
        <f t="shared" si="55"/>
        <v>0.16101687426101782</v>
      </c>
      <c r="E152" s="338">
        <f t="shared" si="56"/>
        <v>1.0000001293129923</v>
      </c>
      <c r="F152" s="339">
        <f t="shared" si="57"/>
        <v>5.0855280619945345E-4</v>
      </c>
      <c r="G152" s="338">
        <f t="shared" si="58"/>
        <v>1</v>
      </c>
      <c r="H152" s="339">
        <f t="shared" si="59"/>
        <v>0</v>
      </c>
      <c r="I152" s="337">
        <f t="shared" si="60"/>
        <v>93488.587904895321</v>
      </c>
      <c r="J152" s="340">
        <f t="shared" si="61"/>
        <v>1.5707856303021757</v>
      </c>
      <c r="K152" s="348">
        <f t="shared" si="79"/>
        <v>1.741425062799387</v>
      </c>
      <c r="L152" s="349">
        <f t="shared" si="80"/>
        <v>0.95911794086288604</v>
      </c>
      <c r="M152" s="337">
        <f t="shared" si="64"/>
        <v>1.0000340850917777</v>
      </c>
      <c r="N152" s="340">
        <f t="shared" si="65"/>
        <v>8.2564064391874945E-3</v>
      </c>
      <c r="O152" s="341">
        <f t="shared" si="66"/>
        <v>1.0000172693842342</v>
      </c>
      <c r="P152" s="342">
        <f t="shared" si="67"/>
        <v>1.30013018549538E-2</v>
      </c>
      <c r="Q152" s="343">
        <f t="shared" si="68"/>
        <v>2.7125656198017118</v>
      </c>
      <c r="R152" s="344">
        <f t="shared" si="69"/>
        <v>-45.460403484800885</v>
      </c>
      <c r="S152" s="346">
        <f t="shared" si="70"/>
        <v>134.53959651519912</v>
      </c>
      <c r="U152" s="319">
        <f t="shared" si="76"/>
        <v>1000000000</v>
      </c>
      <c r="V152" s="319">
        <f t="shared" si="77"/>
        <v>74140710.25</v>
      </c>
      <c r="X152" s="345">
        <f t="shared" si="71"/>
        <v>3.1098521571801063</v>
      </c>
      <c r="Y152" s="346">
        <f t="shared" si="72"/>
        <v>-35.519034352886543</v>
      </c>
      <c r="AA152" s="345">
        <f t="shared" si="73"/>
        <v>32.826342331553981</v>
      </c>
      <c r="AB152" s="346">
        <f t="shared" si="74"/>
        <v>-9.9413691319143442</v>
      </c>
      <c r="AD152">
        <f t="shared" si="78"/>
        <v>0</v>
      </c>
      <c r="AE152">
        <f t="shared" si="53"/>
        <v>0</v>
      </c>
    </row>
    <row r="153" spans="1:31" x14ac:dyDescent="0.2">
      <c r="A153" s="350">
        <v>8660.0499999999993</v>
      </c>
      <c r="B153" s="364">
        <f t="shared" si="75"/>
        <v>8.66005</v>
      </c>
      <c r="C153" s="337">
        <f t="shared" si="54"/>
        <v>1.0132550162892944</v>
      </c>
      <c r="D153" s="338">
        <f t="shared" si="55"/>
        <v>0.1619273947744394</v>
      </c>
      <c r="E153" s="338">
        <f t="shared" si="56"/>
        <v>1.0000001308055639</v>
      </c>
      <c r="F153" s="339">
        <f t="shared" si="57"/>
        <v>5.1147932465539676E-4</v>
      </c>
      <c r="G153" s="338">
        <f t="shared" si="58"/>
        <v>1</v>
      </c>
      <c r="H153" s="339">
        <f t="shared" si="59"/>
        <v>0</v>
      </c>
      <c r="I153" s="337">
        <f t="shared" si="60"/>
        <v>94026.577514111865</v>
      </c>
      <c r="J153" s="340">
        <f t="shared" si="61"/>
        <v>1.570785691504041</v>
      </c>
      <c r="K153" s="348">
        <f t="shared" si="79"/>
        <v>1.748148083066269</v>
      </c>
      <c r="L153" s="349">
        <f t="shared" si="80"/>
        <v>0.96181291514629896</v>
      </c>
      <c r="M153" s="337">
        <f t="shared" si="64"/>
        <v>1.0000344785060089</v>
      </c>
      <c r="N153" s="340">
        <f t="shared" si="65"/>
        <v>8.3039165938308367E-3</v>
      </c>
      <c r="O153" s="341">
        <f t="shared" si="66"/>
        <v>1.00001746873764</v>
      </c>
      <c r="P153" s="342">
        <f t="shared" si="67"/>
        <v>1.3076120817253787E-2</v>
      </c>
      <c r="Q153" s="343">
        <f t="shared" si="68"/>
        <v>2.6949002229913872</v>
      </c>
      <c r="R153" s="344">
        <f t="shared" si="69"/>
        <v>-45.365006586499966</v>
      </c>
      <c r="S153" s="346">
        <f t="shared" si="70"/>
        <v>134.63499341350004</v>
      </c>
      <c r="U153" s="319">
        <f t="shared" si="76"/>
        <v>1000000000</v>
      </c>
      <c r="V153" s="319">
        <f t="shared" si="77"/>
        <v>74996466.002499983</v>
      </c>
      <c r="X153" s="345">
        <f t="shared" si="71"/>
        <v>3.0934767263560872</v>
      </c>
      <c r="Y153" s="346">
        <f t="shared" si="72"/>
        <v>-35.367349338331017</v>
      </c>
      <c r="AA153" s="345">
        <f t="shared" si="73"/>
        <v>32.825052365567679</v>
      </c>
      <c r="AB153" s="346">
        <f t="shared" si="74"/>
        <v>-9.9976572481689505</v>
      </c>
      <c r="AD153">
        <f t="shared" si="78"/>
        <v>0</v>
      </c>
      <c r="AE153">
        <f t="shared" si="53"/>
        <v>0</v>
      </c>
    </row>
    <row r="154" spans="1:31" x14ac:dyDescent="0.2">
      <c r="A154" s="350">
        <v>8709.6</v>
      </c>
      <c r="B154" s="364">
        <f t="shared" si="75"/>
        <v>8.7096</v>
      </c>
      <c r="C154" s="337">
        <f t="shared" si="54"/>
        <v>1.0134061258149414</v>
      </c>
      <c r="D154" s="338">
        <f t="shared" si="55"/>
        <v>0.16283764450591967</v>
      </c>
      <c r="E154" s="338">
        <f t="shared" si="56"/>
        <v>1.0000001323067003</v>
      </c>
      <c r="F154" s="339">
        <f t="shared" si="57"/>
        <v>5.1440584310257908E-4</v>
      </c>
      <c r="G154" s="338">
        <f t="shared" si="58"/>
        <v>1</v>
      </c>
      <c r="H154" s="339">
        <f t="shared" si="59"/>
        <v>0</v>
      </c>
      <c r="I154" s="337">
        <f t="shared" si="60"/>
        <v>94564.567123328772</v>
      </c>
      <c r="J154" s="340">
        <f t="shared" si="61"/>
        <v>1.5707857520095363</v>
      </c>
      <c r="K154" s="348">
        <f t="shared" si="79"/>
        <v>1.7548837025982793</v>
      </c>
      <c r="L154" s="349">
        <f t="shared" si="80"/>
        <v>0.96448722095185402</v>
      </c>
      <c r="M154" s="337">
        <f t="shared" si="64"/>
        <v>1.0000348741775311</v>
      </c>
      <c r="N154" s="340">
        <f t="shared" si="65"/>
        <v>8.3514267109859024E-3</v>
      </c>
      <c r="O154" s="341">
        <f t="shared" si="66"/>
        <v>1.0000176692355216</v>
      </c>
      <c r="P154" s="342">
        <f t="shared" si="67"/>
        <v>1.3150939807874662E-2</v>
      </c>
      <c r="Q154" s="343">
        <f t="shared" si="68"/>
        <v>2.6774460440116559</v>
      </c>
      <c r="R154" s="344">
        <f t="shared" si="69"/>
        <v>-45.270778349664383</v>
      </c>
      <c r="S154" s="346">
        <f t="shared" si="70"/>
        <v>134.7292216503356</v>
      </c>
      <c r="U154" s="319">
        <f t="shared" si="76"/>
        <v>1000000000</v>
      </c>
      <c r="V154" s="319">
        <f t="shared" si="77"/>
        <v>75857132.160000011</v>
      </c>
      <c r="X154" s="345">
        <f t="shared" si="71"/>
        <v>3.0773195299970171</v>
      </c>
      <c r="Y154" s="346">
        <f t="shared" si="72"/>
        <v>-35.216848498280086</v>
      </c>
      <c r="AA154" s="345">
        <f t="shared" si="73"/>
        <v>32.82375538294702</v>
      </c>
      <c r="AB154" s="346">
        <f t="shared" si="74"/>
        <v>-10.0539298513843</v>
      </c>
      <c r="AD154">
        <f t="shared" si="78"/>
        <v>0</v>
      </c>
      <c r="AE154">
        <f t="shared" ref="AE154:AE217" si="81">IF(AD154&gt;0,S154,0)</f>
        <v>0</v>
      </c>
    </row>
    <row r="155" spans="1:31" x14ac:dyDescent="0.2">
      <c r="A155" s="350">
        <v>8760.3250000000007</v>
      </c>
      <c r="B155" s="364">
        <f t="shared" si="75"/>
        <v>8.7603249999999999</v>
      </c>
      <c r="C155" s="337">
        <f t="shared" si="54"/>
        <v>1.0135616881667644</v>
      </c>
      <c r="D155" s="338">
        <f t="shared" si="55"/>
        <v>0.16376919743448304</v>
      </c>
      <c r="E155" s="338">
        <f t="shared" si="56"/>
        <v>1.0000001338523052</v>
      </c>
      <c r="F155" s="339">
        <f t="shared" si="57"/>
        <v>5.1740175930401302E-4</v>
      </c>
      <c r="G155" s="338">
        <f t="shared" si="58"/>
        <v>1</v>
      </c>
      <c r="H155" s="339">
        <f t="shared" si="59"/>
        <v>0</v>
      </c>
      <c r="I155" s="337">
        <f t="shared" si="60"/>
        <v>95115.314306528453</v>
      </c>
      <c r="J155" s="340">
        <f t="shared" si="61"/>
        <v>1.5707858132408248</v>
      </c>
      <c r="K155" s="348">
        <f t="shared" si="79"/>
        <v>1.7617919468027945</v>
      </c>
      <c r="L155" s="349">
        <f t="shared" si="80"/>
        <v>0.9672037420245404</v>
      </c>
      <c r="M155" s="337">
        <f t="shared" si="64"/>
        <v>1.0000352815699936</v>
      </c>
      <c r="N155" s="340">
        <f t="shared" si="65"/>
        <v>8.4000634164845458E-3</v>
      </c>
      <c r="O155" s="341">
        <f t="shared" si="66"/>
        <v>1.0000178756734108</v>
      </c>
      <c r="P155" s="342">
        <f t="shared" si="67"/>
        <v>1.3227533042208271E-2</v>
      </c>
      <c r="Q155" s="343">
        <f t="shared" si="68"/>
        <v>2.6597929306130261</v>
      </c>
      <c r="R155" s="344">
        <f t="shared" si="69"/>
        <v>-45.175514210293329</v>
      </c>
      <c r="S155" s="346">
        <f t="shared" si="70"/>
        <v>134.82448578970667</v>
      </c>
      <c r="U155" s="319">
        <f t="shared" si="76"/>
        <v>1000000000</v>
      </c>
      <c r="V155" s="319">
        <f t="shared" si="77"/>
        <v>76743294.105625018</v>
      </c>
      <c r="X155" s="345">
        <f t="shared" si="71"/>
        <v>3.0610014166408095</v>
      </c>
      <c r="Y155" s="346">
        <f t="shared" si="72"/>
        <v>-35.063993491931036</v>
      </c>
      <c r="AA155" s="345">
        <f t="shared" si="73"/>
        <v>32.822420382904596</v>
      </c>
      <c r="AB155" s="346">
        <f t="shared" si="74"/>
        <v>-10.111520718362296</v>
      </c>
      <c r="AD155">
        <f t="shared" si="78"/>
        <v>0</v>
      </c>
      <c r="AE155">
        <f t="shared" si="81"/>
        <v>0</v>
      </c>
    </row>
    <row r="156" spans="1:31" x14ac:dyDescent="0.2">
      <c r="A156" s="350">
        <v>8811.0499999999993</v>
      </c>
      <c r="B156" s="364">
        <f t="shared" si="75"/>
        <v>8.8110499999999998</v>
      </c>
      <c r="C156" s="337">
        <f t="shared" si="54"/>
        <v>1.0137181298077607</v>
      </c>
      <c r="D156" s="338">
        <f t="shared" si="55"/>
        <v>0.1647004636479244</v>
      </c>
      <c r="E156" s="338">
        <f t="shared" si="56"/>
        <v>1.0000001354068857</v>
      </c>
      <c r="F156" s="339">
        <f t="shared" si="57"/>
        <v>5.2039767549615882E-4</v>
      </c>
      <c r="G156" s="338">
        <f t="shared" si="58"/>
        <v>1</v>
      </c>
      <c r="H156" s="339">
        <f t="shared" si="59"/>
        <v>0</v>
      </c>
      <c r="I156" s="337">
        <f t="shared" si="60"/>
        <v>95666.061489728483</v>
      </c>
      <c r="J156" s="340">
        <f t="shared" si="61"/>
        <v>1.5707858737670992</v>
      </c>
      <c r="K156" s="348">
        <f t="shared" si="79"/>
        <v>1.7687130905122845</v>
      </c>
      <c r="L156" s="349">
        <f t="shared" si="80"/>
        <v>0.96989902284338225</v>
      </c>
      <c r="M156" s="337">
        <f t="shared" si="64"/>
        <v>1.0000356913280666</v>
      </c>
      <c r="N156" s="340">
        <f t="shared" si="65"/>
        <v>8.4487000822410976E-3</v>
      </c>
      <c r="O156" s="341">
        <f t="shared" si="66"/>
        <v>1.0000180833107186</v>
      </c>
      <c r="P156" s="342">
        <f t="shared" si="67"/>
        <v>1.3304126306565278E-2</v>
      </c>
      <c r="Q156" s="343">
        <f t="shared" si="68"/>
        <v>2.6423534774440065</v>
      </c>
      <c r="R156" s="344">
        <f t="shared" si="69"/>
        <v>-45.081450579307678</v>
      </c>
      <c r="S156" s="346">
        <f t="shared" si="70"/>
        <v>134.91854942069233</v>
      </c>
      <c r="U156" s="319">
        <f t="shared" si="76"/>
        <v>1000000000</v>
      </c>
      <c r="V156" s="319">
        <f t="shared" si="77"/>
        <v>77634602.102499992</v>
      </c>
      <c r="X156" s="345">
        <f t="shared" si="71"/>
        <v>3.0449043033043881</v>
      </c>
      <c r="Y156" s="346">
        <f t="shared" si="72"/>
        <v>-34.912355419813082</v>
      </c>
      <c r="AA156" s="345">
        <f t="shared" si="73"/>
        <v>32.821078043071999</v>
      </c>
      <c r="AB156" s="346">
        <f t="shared" si="74"/>
        <v>-10.169095159494605</v>
      </c>
      <c r="AD156">
        <f t="shared" si="78"/>
        <v>0</v>
      </c>
      <c r="AE156">
        <f t="shared" si="81"/>
        <v>0</v>
      </c>
    </row>
    <row r="157" spans="1:31" x14ac:dyDescent="0.2">
      <c r="A157" s="350">
        <v>8861.7749999999996</v>
      </c>
      <c r="B157" s="364">
        <f t="shared" si="75"/>
        <v>8.8617749999999997</v>
      </c>
      <c r="C157" s="337">
        <f t="shared" si="54"/>
        <v>1.0138754503309053</v>
      </c>
      <c r="D157" s="338">
        <f t="shared" si="55"/>
        <v>0.16563144166404642</v>
      </c>
      <c r="E157" s="338">
        <f t="shared" si="56"/>
        <v>1.0000001369704414</v>
      </c>
      <c r="F157" s="339">
        <f t="shared" si="57"/>
        <v>5.2339359167896313E-4</v>
      </c>
      <c r="G157" s="338">
        <f t="shared" si="58"/>
        <v>1</v>
      </c>
      <c r="H157" s="339">
        <f t="shared" si="59"/>
        <v>0</v>
      </c>
      <c r="I157" s="337">
        <f t="shared" si="60"/>
        <v>96216.808672928863</v>
      </c>
      <c r="J157" s="340">
        <f t="shared" si="61"/>
        <v>1.5707859336004661</v>
      </c>
      <c r="K157" s="348">
        <f t="shared" si="79"/>
        <v>1.7756469828870987</v>
      </c>
      <c r="L157" s="349">
        <f t="shared" si="80"/>
        <v>0.9725732728476908</v>
      </c>
      <c r="M157" s="337">
        <f t="shared" si="64"/>
        <v>1.0000361034517473</v>
      </c>
      <c r="N157" s="340">
        <f t="shared" si="65"/>
        <v>8.497336708025504E-3</v>
      </c>
      <c r="O157" s="341">
        <f t="shared" si="66"/>
        <v>1.0000182921474559</v>
      </c>
      <c r="P157" s="342">
        <f t="shared" si="67"/>
        <v>1.3380719601119404E-2</v>
      </c>
      <c r="Q157" s="343">
        <f t="shared" si="68"/>
        <v>2.6251239104855872</v>
      </c>
      <c r="R157" s="344">
        <f t="shared" si="69"/>
        <v>-44.988575372485599</v>
      </c>
      <c r="S157" s="346">
        <f t="shared" si="70"/>
        <v>135.0114246275144</v>
      </c>
      <c r="U157" s="319">
        <f t="shared" si="76"/>
        <v>1000000000</v>
      </c>
      <c r="V157" s="319">
        <f t="shared" si="77"/>
        <v>78531056.15062499</v>
      </c>
      <c r="X157" s="345">
        <f t="shared" si="71"/>
        <v>3.0290244090571026</v>
      </c>
      <c r="Y157" s="346">
        <f t="shared" si="72"/>
        <v>-34.761922282618066</v>
      </c>
      <c r="AA157" s="345">
        <f t="shared" si="73"/>
        <v>32.819728370360863</v>
      </c>
      <c r="AB157" s="346">
        <f t="shared" si="74"/>
        <v>-10.226653089867533</v>
      </c>
      <c r="AD157">
        <f t="shared" si="78"/>
        <v>0</v>
      </c>
      <c r="AE157">
        <f t="shared" si="81"/>
        <v>0</v>
      </c>
    </row>
    <row r="158" spans="1:31" x14ac:dyDescent="0.2">
      <c r="A158" s="347">
        <v>8912.5</v>
      </c>
      <c r="B158" s="364">
        <f t="shared" si="75"/>
        <v>8.9124999999999996</v>
      </c>
      <c r="C158" s="337">
        <f t="shared" si="54"/>
        <v>1.0140336493271402</v>
      </c>
      <c r="D158" s="338">
        <f t="shared" si="55"/>
        <v>0.16656213000356726</v>
      </c>
      <c r="E158" s="338">
        <f t="shared" si="56"/>
        <v>1.0000001385429729</v>
      </c>
      <c r="F158" s="339">
        <f t="shared" si="57"/>
        <v>5.2638950785237207E-4</v>
      </c>
      <c r="G158" s="338">
        <f t="shared" si="58"/>
        <v>1</v>
      </c>
      <c r="H158" s="339">
        <f t="shared" si="59"/>
        <v>0</v>
      </c>
      <c r="I158" s="337">
        <f t="shared" si="60"/>
        <v>96767.555856129606</v>
      </c>
      <c r="J158" s="340">
        <f t="shared" si="61"/>
        <v>1.5707859927527565</v>
      </c>
      <c r="K158" s="348">
        <f t="shared" ref="K158:K214" si="82">SQRT(1+(A158/Zero2)^2)</f>
        <v>1.7825934751588202</v>
      </c>
      <c r="L158" s="349">
        <f t="shared" ref="L158:L214" si="83">ATAN(A158/Zero2)</f>
        <v>0.97522669942440587</v>
      </c>
      <c r="M158" s="337">
        <f t="shared" si="64"/>
        <v>1.0000365179410329</v>
      </c>
      <c r="N158" s="340">
        <f t="shared" si="65"/>
        <v>8.5459732936077146E-3</v>
      </c>
      <c r="O158" s="341">
        <f t="shared" si="66"/>
        <v>1.0000185021836334</v>
      </c>
      <c r="P158" s="342">
        <f t="shared" si="67"/>
        <v>1.3457312926044367E-2</v>
      </c>
      <c r="Q158" s="343">
        <f t="shared" si="68"/>
        <v>2.6081005326081947</v>
      </c>
      <c r="R158" s="344">
        <f t="shared" si="69"/>
        <v>-44.896876623348732</v>
      </c>
      <c r="S158" s="346">
        <f t="shared" si="70"/>
        <v>135.10312337665127</v>
      </c>
      <c r="U158" s="319">
        <f t="shared" si="76"/>
        <v>1000000000</v>
      </c>
      <c r="V158" s="319">
        <f t="shared" si="77"/>
        <v>79432656.25</v>
      </c>
      <c r="X158" s="345">
        <f t="shared" si="71"/>
        <v>3.0133580298250253</v>
      </c>
      <c r="Y158" s="346">
        <f t="shared" si="72"/>
        <v>-34.612682198614294</v>
      </c>
      <c r="AA158" s="345">
        <f t="shared" si="73"/>
        <v>32.81837137171555</v>
      </c>
      <c r="AB158" s="346">
        <f t="shared" si="74"/>
        <v>-10.28419442473443</v>
      </c>
      <c r="AD158">
        <f t="shared" si="78"/>
        <v>0</v>
      </c>
      <c r="AE158">
        <f t="shared" si="81"/>
        <v>0</v>
      </c>
    </row>
    <row r="159" spans="1:31" x14ac:dyDescent="0.2">
      <c r="A159" s="347">
        <v>8964.4</v>
      </c>
      <c r="B159" s="364">
        <f t="shared" si="75"/>
        <v>8.9643999999999995</v>
      </c>
      <c r="C159" s="337">
        <f t="shared" si="54"/>
        <v>1.0141964216675294</v>
      </c>
      <c r="D159" s="338">
        <f t="shared" si="55"/>
        <v>0.16751407556040368</v>
      </c>
      <c r="E159" s="338">
        <f t="shared" si="56"/>
        <v>1.0000001401612206</v>
      </c>
      <c r="F159" s="339">
        <f t="shared" si="57"/>
        <v>5.2945482177851899E-4</v>
      </c>
      <c r="G159" s="338">
        <f t="shared" si="58"/>
        <v>1</v>
      </c>
      <c r="H159" s="339">
        <f t="shared" si="59"/>
        <v>0</v>
      </c>
      <c r="I159" s="337">
        <f t="shared" si="60"/>
        <v>97331.060613313137</v>
      </c>
      <c r="J159" s="340">
        <f t="shared" si="61"/>
        <v>1.5707860525823922</v>
      </c>
      <c r="K159" s="348">
        <f t="shared" si="82"/>
        <v>1.7897137648637418</v>
      </c>
      <c r="L159" s="349">
        <f t="shared" si="83"/>
        <v>0.97792025190608334</v>
      </c>
      <c r="M159" s="337">
        <f t="shared" si="64"/>
        <v>1.0000369444800303</v>
      </c>
      <c r="N159" s="340">
        <f t="shared" si="65"/>
        <v>8.5957364610574055E-3</v>
      </c>
      <c r="O159" s="341">
        <f t="shared" si="66"/>
        <v>1.000018718326563</v>
      </c>
      <c r="P159" s="342">
        <f t="shared" si="67"/>
        <v>1.3535680499574156E-2</v>
      </c>
      <c r="Q159" s="343">
        <f t="shared" si="68"/>
        <v>2.5908924544825767</v>
      </c>
      <c r="R159" s="344">
        <f t="shared" si="69"/>
        <v>-44.804259045997505</v>
      </c>
      <c r="S159" s="346">
        <f t="shared" si="70"/>
        <v>135.1957409540025</v>
      </c>
      <c r="U159" s="319">
        <f t="shared" si="76"/>
        <v>1000000000</v>
      </c>
      <c r="V159" s="319">
        <f t="shared" si="77"/>
        <v>80360467.359999999</v>
      </c>
      <c r="X159" s="345">
        <f t="shared" si="71"/>
        <v>2.9975459591951954</v>
      </c>
      <c r="Y159" s="346">
        <f t="shared" si="72"/>
        <v>-34.461207656799779</v>
      </c>
      <c r="AA159" s="345">
        <f t="shared" si="73"/>
        <v>32.816975364219765</v>
      </c>
      <c r="AB159" s="346">
        <f t="shared" si="74"/>
        <v>-10.343051389197729</v>
      </c>
      <c r="AD159">
        <f t="shared" si="78"/>
        <v>0</v>
      </c>
      <c r="AE159">
        <f t="shared" si="81"/>
        <v>0</v>
      </c>
    </row>
    <row r="160" spans="1:31" x14ac:dyDescent="0.2">
      <c r="A160" s="347">
        <v>9016.2999999999993</v>
      </c>
      <c r="B160" s="364">
        <f t="shared" si="75"/>
        <v>9.0162999999999993</v>
      </c>
      <c r="C160" s="337">
        <f t="shared" si="54"/>
        <v>1.0143601127776172</v>
      </c>
      <c r="D160" s="338">
        <f t="shared" si="55"/>
        <v>0.16846571474130803</v>
      </c>
      <c r="E160" s="338">
        <f t="shared" si="56"/>
        <v>1.0000001417888642</v>
      </c>
      <c r="F160" s="339">
        <f t="shared" si="57"/>
        <v>5.3252013569471607E-4</v>
      </c>
      <c r="G160" s="338">
        <f t="shared" si="58"/>
        <v>1</v>
      </c>
      <c r="H160" s="339">
        <f t="shared" si="59"/>
        <v>0</v>
      </c>
      <c r="I160" s="337">
        <f t="shared" si="60"/>
        <v>97894.565370497032</v>
      </c>
      <c r="J160" s="340">
        <f t="shared" si="61"/>
        <v>1.5707861117232405</v>
      </c>
      <c r="K160" s="348">
        <f t="shared" si="82"/>
        <v>1.7968469363815096</v>
      </c>
      <c r="L160" s="349">
        <f t="shared" si="83"/>
        <v>0.98059243777226435</v>
      </c>
      <c r="M160" s="337">
        <f t="shared" si="64"/>
        <v>1.0000373734954899</v>
      </c>
      <c r="N160" s="340">
        <f t="shared" si="65"/>
        <v>8.6454995859335873E-3</v>
      </c>
      <c r="O160" s="341">
        <f t="shared" si="66"/>
        <v>1.000018935725167</v>
      </c>
      <c r="P160" s="342">
        <f t="shared" si="67"/>
        <v>1.3614048105266027E-2</v>
      </c>
      <c r="Q160" s="343">
        <f t="shared" si="68"/>
        <v>2.5738926368151409</v>
      </c>
      <c r="R160" s="344">
        <f t="shared" si="69"/>
        <v>-44.71284809142967</v>
      </c>
      <c r="S160" s="346">
        <f t="shared" si="70"/>
        <v>135.28715190857034</v>
      </c>
      <c r="U160" s="319">
        <f t="shared" si="76"/>
        <v>1000000000</v>
      </c>
      <c r="V160" s="319">
        <f t="shared" si="77"/>
        <v>81293665.689999983</v>
      </c>
      <c r="X160" s="345">
        <f t="shared" si="71"/>
        <v>2.9819498034739311</v>
      </c>
      <c r="Y160" s="346">
        <f t="shared" si="72"/>
        <v>-34.310957289973196</v>
      </c>
      <c r="AA160" s="345">
        <f t="shared" si="73"/>
        <v>32.815571702273587</v>
      </c>
      <c r="AB160" s="346">
        <f t="shared" si="74"/>
        <v>-10.401890801456478</v>
      </c>
      <c r="AD160">
        <f t="shared" si="78"/>
        <v>0</v>
      </c>
      <c r="AE160">
        <f t="shared" si="81"/>
        <v>0</v>
      </c>
    </row>
    <row r="161" spans="1:31" x14ac:dyDescent="0.2">
      <c r="A161" s="347">
        <v>9068.2000000000007</v>
      </c>
      <c r="B161" s="364">
        <f t="shared" si="75"/>
        <v>9.0682000000000009</v>
      </c>
      <c r="C161" s="337">
        <f t="shared" si="54"/>
        <v>1.0145247222126796</v>
      </c>
      <c r="D161" s="338">
        <f t="shared" si="55"/>
        <v>0.16941704597135693</v>
      </c>
      <c r="E161" s="338">
        <f t="shared" si="56"/>
        <v>1.000000143425904</v>
      </c>
      <c r="F161" s="339">
        <f t="shared" si="57"/>
        <v>5.3558544960090608E-4</v>
      </c>
      <c r="G161" s="338">
        <f t="shared" si="58"/>
        <v>1</v>
      </c>
      <c r="H161" s="339">
        <f t="shared" si="59"/>
        <v>0</v>
      </c>
      <c r="I161" s="337">
        <f t="shared" si="60"/>
        <v>98458.070127681276</v>
      </c>
      <c r="J161" s="340">
        <f t="shared" si="61"/>
        <v>1.5707861701871273</v>
      </c>
      <c r="K161" s="348">
        <f t="shared" si="82"/>
        <v>1.8039928369041283</v>
      </c>
      <c r="L161" s="349">
        <f t="shared" si="83"/>
        <v>0.98324347254324584</v>
      </c>
      <c r="M161" s="337">
        <f t="shared" si="64"/>
        <v>1.0000378049874086</v>
      </c>
      <c r="N161" s="340">
        <f t="shared" si="65"/>
        <v>8.6952626679898514E-3</v>
      </c>
      <c r="O161" s="341">
        <f t="shared" si="66"/>
        <v>1.000019154379457</v>
      </c>
      <c r="P161" s="342">
        <f t="shared" si="67"/>
        <v>1.3692415743306043E-2</v>
      </c>
      <c r="Q161" s="343">
        <f t="shared" si="68"/>
        <v>2.5570973579300378</v>
      </c>
      <c r="R161" s="344">
        <f t="shared" si="69"/>
        <v>-44.622631321679464</v>
      </c>
      <c r="S161" s="346">
        <f t="shared" si="70"/>
        <v>135.37736867832052</v>
      </c>
      <c r="U161" s="319">
        <f t="shared" si="76"/>
        <v>1000000000</v>
      </c>
      <c r="V161" s="319">
        <f t="shared" si="77"/>
        <v>82232251.24000001</v>
      </c>
      <c r="X161" s="345">
        <f t="shared" si="71"/>
        <v>2.9665658334416141</v>
      </c>
      <c r="Y161" s="346">
        <f t="shared" si="72"/>
        <v>-34.161918750394591</v>
      </c>
      <c r="AA161" s="345">
        <f t="shared" si="73"/>
        <v>32.814160393420806</v>
      </c>
      <c r="AB161" s="346">
        <f t="shared" si="74"/>
        <v>-10.460712571284875</v>
      </c>
      <c r="AD161">
        <f t="shared" si="78"/>
        <v>0</v>
      </c>
      <c r="AE161">
        <f t="shared" si="81"/>
        <v>0</v>
      </c>
    </row>
    <row r="162" spans="1:31" x14ac:dyDescent="0.2">
      <c r="A162" s="347">
        <v>9120.1</v>
      </c>
      <c r="B162" s="364">
        <f t="shared" si="75"/>
        <v>9.1201000000000008</v>
      </c>
      <c r="C162" s="337">
        <f t="shared" si="54"/>
        <v>1.0146902495257875</v>
      </c>
      <c r="D162" s="338">
        <f t="shared" si="55"/>
        <v>0.17036806767887558</v>
      </c>
      <c r="E162" s="338">
        <f t="shared" si="56"/>
        <v>1.0000001450723401</v>
      </c>
      <c r="F162" s="339">
        <f t="shared" si="57"/>
        <v>5.3865076349703122E-4</v>
      </c>
      <c r="G162" s="338">
        <f t="shared" si="58"/>
        <v>1</v>
      </c>
      <c r="H162" s="339">
        <f t="shared" si="59"/>
        <v>0</v>
      </c>
      <c r="I162" s="337">
        <f t="shared" si="60"/>
        <v>99021.57488486584</v>
      </c>
      <c r="J162" s="340">
        <f t="shared" si="61"/>
        <v>1.57078622798561</v>
      </c>
      <c r="K162" s="348">
        <f t="shared" si="82"/>
        <v>1.8111513157646741</v>
      </c>
      <c r="L162" s="349">
        <f t="shared" si="83"/>
        <v>0.98587356953029959</v>
      </c>
      <c r="M162" s="337">
        <f t="shared" si="64"/>
        <v>1.0000382389557829</v>
      </c>
      <c r="N162" s="340">
        <f t="shared" si="65"/>
        <v>8.7450257069797907E-3</v>
      </c>
      <c r="O162" s="341">
        <f t="shared" si="66"/>
        <v>1.0000193742894443</v>
      </c>
      <c r="P162" s="342">
        <f t="shared" si="67"/>
        <v>1.3770783413880263E-2</v>
      </c>
      <c r="Q162" s="343">
        <f t="shared" si="68"/>
        <v>2.540502972777853</v>
      </c>
      <c r="R162" s="344">
        <f t="shared" si="69"/>
        <v>-44.533596425519661</v>
      </c>
      <c r="S162" s="346">
        <f t="shared" si="70"/>
        <v>135.46640357448035</v>
      </c>
      <c r="U162" s="319">
        <f t="shared" si="76"/>
        <v>1000000000</v>
      </c>
      <c r="V162" s="319">
        <f t="shared" si="77"/>
        <v>83176224.010000005</v>
      </c>
      <c r="X162" s="345">
        <f t="shared" si="71"/>
        <v>2.9513903964697126</v>
      </c>
      <c r="Y162" s="346">
        <f t="shared" si="72"/>
        <v>-34.014079816876396</v>
      </c>
      <c r="AA162" s="345">
        <f t="shared" si="73"/>
        <v>32.812741445240519</v>
      </c>
      <c r="AB162" s="346">
        <f t="shared" si="74"/>
        <v>-10.519516608643256</v>
      </c>
      <c r="AD162">
        <f t="shared" si="78"/>
        <v>0</v>
      </c>
      <c r="AE162">
        <f t="shared" si="81"/>
        <v>0</v>
      </c>
    </row>
    <row r="163" spans="1:31" x14ac:dyDescent="0.2">
      <c r="A163" s="347">
        <v>9173.2000000000007</v>
      </c>
      <c r="B163" s="364">
        <f t="shared" si="75"/>
        <v>9.1732000000000014</v>
      </c>
      <c r="C163" s="337">
        <f t="shared" si="54"/>
        <v>1.0148605535489001</v>
      </c>
      <c r="D163" s="338">
        <f t="shared" si="55"/>
        <v>0.17134075635173934</v>
      </c>
      <c r="E163" s="338">
        <f t="shared" si="56"/>
        <v>1.0000001467665685</v>
      </c>
      <c r="F163" s="339">
        <f t="shared" si="57"/>
        <v>5.4178695169241654E-4</v>
      </c>
      <c r="G163" s="338">
        <f t="shared" si="58"/>
        <v>1</v>
      </c>
      <c r="H163" s="339">
        <f t="shared" si="59"/>
        <v>0</v>
      </c>
      <c r="I163" s="337">
        <f t="shared" si="60"/>
        <v>99598.108653777541</v>
      </c>
      <c r="J163" s="340">
        <f t="shared" si="61"/>
        <v>1.5707862864435935</v>
      </c>
      <c r="K163" s="348">
        <f t="shared" si="82"/>
        <v>1.8184881716085282</v>
      </c>
      <c r="L163" s="349">
        <f t="shared" si="83"/>
        <v>0.98854302862483201</v>
      </c>
      <c r="M163" s="337">
        <f t="shared" si="64"/>
        <v>1.0000386855211112</v>
      </c>
      <c r="N163" s="340">
        <f t="shared" si="65"/>
        <v>8.7959392916381589E-3</v>
      </c>
      <c r="O163" s="341">
        <f t="shared" si="66"/>
        <v>1.0000196005836515</v>
      </c>
      <c r="P163" s="342">
        <f t="shared" si="67"/>
        <v>1.385096308758162E-2</v>
      </c>
      <c r="Q163" s="343">
        <f t="shared" si="68"/>
        <v>2.5237290942231274</v>
      </c>
      <c r="R163" s="344">
        <f t="shared" si="69"/>
        <v>-44.443713390927705</v>
      </c>
      <c r="S163" s="346">
        <f t="shared" si="70"/>
        <v>135.55628660907229</v>
      </c>
      <c r="U163" s="319">
        <f t="shared" si="76"/>
        <v>1000000000</v>
      </c>
      <c r="V163" s="319">
        <f t="shared" si="77"/>
        <v>84147598.24000001</v>
      </c>
      <c r="X163" s="345">
        <f t="shared" si="71"/>
        <v>2.9360761725215796</v>
      </c>
      <c r="Y163" s="346">
        <f t="shared" si="72"/>
        <v>-33.864051559921982</v>
      </c>
      <c r="AA163" s="345">
        <f t="shared" si="73"/>
        <v>32.811281790633927</v>
      </c>
      <c r="AB163" s="346">
        <f t="shared" si="74"/>
        <v>-10.579661831005728</v>
      </c>
      <c r="AD163">
        <f t="shared" si="78"/>
        <v>0</v>
      </c>
      <c r="AE163">
        <f t="shared" si="81"/>
        <v>0</v>
      </c>
    </row>
    <row r="164" spans="1:31" x14ac:dyDescent="0.2">
      <c r="A164" s="347">
        <v>9226.2999999999993</v>
      </c>
      <c r="B164" s="364">
        <f t="shared" si="75"/>
        <v>9.2262999999999984</v>
      </c>
      <c r="C164" s="337">
        <f t="shared" si="54"/>
        <v>1.0150318174324497</v>
      </c>
      <c r="D164" s="338">
        <f t="shared" si="55"/>
        <v>0.17231311770546609</v>
      </c>
      <c r="E164" s="338">
        <f t="shared" si="56"/>
        <v>1.0000001484706325</v>
      </c>
      <c r="F164" s="339">
        <f t="shared" si="57"/>
        <v>5.4492313987714405E-4</v>
      </c>
      <c r="G164" s="338">
        <f t="shared" si="58"/>
        <v>1</v>
      </c>
      <c r="H164" s="339">
        <f t="shared" si="59"/>
        <v>0</v>
      </c>
      <c r="I164" s="337">
        <f t="shared" si="60"/>
        <v>100174.64242268956</v>
      </c>
      <c r="J164" s="340">
        <f t="shared" si="61"/>
        <v>1.570786344228692</v>
      </c>
      <c r="K164" s="348">
        <f t="shared" si="82"/>
        <v>1.8258378818229111</v>
      </c>
      <c r="L164" s="349">
        <f t="shared" si="83"/>
        <v>0.99119101523282704</v>
      </c>
      <c r="M164" s="337">
        <f t="shared" si="64"/>
        <v>1.0000391346787305</v>
      </c>
      <c r="N164" s="340">
        <f t="shared" si="65"/>
        <v>8.8468528306938424E-3</v>
      </c>
      <c r="O164" s="341">
        <f t="shared" si="66"/>
        <v>1.0000198281923194</v>
      </c>
      <c r="P164" s="342">
        <f t="shared" si="67"/>
        <v>1.3931142795733069E-2</v>
      </c>
      <c r="Q164" s="343">
        <f t="shared" si="68"/>
        <v>2.5071580252345709</v>
      </c>
      <c r="R164" s="344">
        <f t="shared" si="69"/>
        <v>-44.355041845994421</v>
      </c>
      <c r="S164" s="346">
        <f t="shared" si="70"/>
        <v>135.64495815400556</v>
      </c>
      <c r="U164" s="319">
        <f t="shared" si="76"/>
        <v>1000000000</v>
      </c>
      <c r="V164" s="319">
        <f t="shared" si="77"/>
        <v>85124611.689999983</v>
      </c>
      <c r="X164" s="345">
        <f t="shared" si="71"/>
        <v>2.9209727386513862</v>
      </c>
      <c r="Y164" s="346">
        <f t="shared" si="72"/>
        <v>-33.715253544656896</v>
      </c>
      <c r="AA164" s="345">
        <f t="shared" si="73"/>
        <v>32.809814155515568</v>
      </c>
      <c r="AB164" s="346">
        <f t="shared" si="74"/>
        <v>-10.639788301337527</v>
      </c>
      <c r="AD164">
        <f t="shared" si="78"/>
        <v>0</v>
      </c>
      <c r="AE164">
        <f t="shared" si="81"/>
        <v>0</v>
      </c>
    </row>
    <row r="165" spans="1:31" x14ac:dyDescent="0.2">
      <c r="A165" s="347">
        <v>9279.4</v>
      </c>
      <c r="B165" s="364">
        <f t="shared" si="75"/>
        <v>9.279399999999999</v>
      </c>
      <c r="C165" s="337">
        <f t="shared" si="54"/>
        <v>1.015204040690654</v>
      </c>
      <c r="D165" s="338">
        <f t="shared" si="55"/>
        <v>0.17328515006746903</v>
      </c>
      <c r="E165" s="338">
        <f t="shared" si="56"/>
        <v>1.0000001501845324</v>
      </c>
      <c r="F165" s="339">
        <f t="shared" si="57"/>
        <v>5.4805932805115237E-4</v>
      </c>
      <c r="G165" s="338">
        <f t="shared" si="58"/>
        <v>1</v>
      </c>
      <c r="H165" s="339">
        <f t="shared" si="59"/>
        <v>0</v>
      </c>
      <c r="I165" s="337">
        <f t="shared" si="60"/>
        <v>100751.17619160196</v>
      </c>
      <c r="J165" s="340">
        <f t="shared" si="61"/>
        <v>1.5707864013524571</v>
      </c>
      <c r="K165" s="348">
        <f t="shared" si="82"/>
        <v>1.8332002917996855</v>
      </c>
      <c r="L165" s="349">
        <f t="shared" si="83"/>
        <v>0.99381775070564771</v>
      </c>
      <c r="M165" s="337">
        <f t="shared" si="64"/>
        <v>1.0000395864286376</v>
      </c>
      <c r="N165" s="340">
        <f t="shared" si="65"/>
        <v>8.8977663238829531E-3</v>
      </c>
      <c r="O165" s="341">
        <f t="shared" si="66"/>
        <v>1.0000200571154607</v>
      </c>
      <c r="P165" s="342">
        <f t="shared" si="67"/>
        <v>1.4011322538533873E-2</v>
      </c>
      <c r="Q165" s="343">
        <f t="shared" si="68"/>
        <v>2.4907860994422268</v>
      </c>
      <c r="R165" s="344">
        <f t="shared" si="69"/>
        <v>-44.267569013046909</v>
      </c>
      <c r="S165" s="346">
        <f t="shared" si="70"/>
        <v>135.73243098695309</v>
      </c>
      <c r="U165" s="319">
        <f t="shared" si="76"/>
        <v>1000000000</v>
      </c>
      <c r="V165" s="319">
        <f t="shared" si="77"/>
        <v>86107264.359999999</v>
      </c>
      <c r="X165" s="345">
        <f t="shared" si="71"/>
        <v>2.9060764202581151</v>
      </c>
      <c r="Y165" s="346">
        <f t="shared" si="72"/>
        <v>-33.567673089228997</v>
      </c>
      <c r="AA165" s="345">
        <f t="shared" si="73"/>
        <v>32.808338548116488</v>
      </c>
      <c r="AB165" s="346">
        <f t="shared" si="74"/>
        <v>-10.699895923817911</v>
      </c>
      <c r="AD165">
        <f t="shared" si="78"/>
        <v>0</v>
      </c>
      <c r="AE165">
        <f t="shared" si="81"/>
        <v>0</v>
      </c>
    </row>
    <row r="166" spans="1:31" x14ac:dyDescent="0.2">
      <c r="A166" s="347">
        <v>9332.5</v>
      </c>
      <c r="B166" s="364">
        <f t="shared" si="75"/>
        <v>9.3324999999999996</v>
      </c>
      <c r="C166" s="337">
        <f t="shared" si="54"/>
        <v>1.0153772228353397</v>
      </c>
      <c r="D166" s="338">
        <f t="shared" si="55"/>
        <v>0.17425685176877984</v>
      </c>
      <c r="E166" s="338">
        <f t="shared" si="56"/>
        <v>1.0000001519082677</v>
      </c>
      <c r="F166" s="339">
        <f t="shared" si="57"/>
        <v>5.511955162143796E-4</v>
      </c>
      <c r="G166" s="338">
        <f t="shared" si="58"/>
        <v>1</v>
      </c>
      <c r="H166" s="339">
        <f t="shared" si="59"/>
        <v>0</v>
      </c>
      <c r="I166" s="337">
        <f t="shared" si="60"/>
        <v>101327.70996051465</v>
      </c>
      <c r="J166" s="340">
        <f t="shared" si="61"/>
        <v>1.5707864578261772</v>
      </c>
      <c r="K166" s="348">
        <f t="shared" si="82"/>
        <v>1.8405752491394529</v>
      </c>
      <c r="L166" s="349">
        <f t="shared" si="83"/>
        <v>0.99642345402914945</v>
      </c>
      <c r="M166" s="337">
        <f t="shared" si="64"/>
        <v>1.0000400407708285</v>
      </c>
      <c r="N166" s="340">
        <f t="shared" si="65"/>
        <v>8.9486797709415981E-3</v>
      </c>
      <c r="O166" s="341">
        <f t="shared" si="66"/>
        <v>1.0000202873530881</v>
      </c>
      <c r="P166" s="342">
        <f t="shared" si="67"/>
        <v>1.4091502316183297E-2</v>
      </c>
      <c r="Q166" s="343">
        <f t="shared" si="68"/>
        <v>2.4746097267520168</v>
      </c>
      <c r="R166" s="344">
        <f t="shared" si="69"/>
        <v>-44.181282250138082</v>
      </c>
      <c r="S166" s="346">
        <f t="shared" si="70"/>
        <v>135.81871774986192</v>
      </c>
      <c r="U166" s="319">
        <f t="shared" si="76"/>
        <v>1000000000</v>
      </c>
      <c r="V166" s="319">
        <f t="shared" si="77"/>
        <v>87095556.25</v>
      </c>
      <c r="X166" s="345">
        <f t="shared" si="71"/>
        <v>2.8913836189784914</v>
      </c>
      <c r="Y166" s="346">
        <f t="shared" si="72"/>
        <v>-33.421297647304613</v>
      </c>
      <c r="AA166" s="345">
        <f t="shared" si="73"/>
        <v>32.806854976705907</v>
      </c>
      <c r="AB166" s="346">
        <f t="shared" si="74"/>
        <v>-10.759984602833462</v>
      </c>
      <c r="AD166">
        <f t="shared" si="78"/>
        <v>0</v>
      </c>
      <c r="AE166">
        <f t="shared" si="81"/>
        <v>0</v>
      </c>
    </row>
    <row r="167" spans="1:31" x14ac:dyDescent="0.2">
      <c r="A167" s="347">
        <v>9386.85</v>
      </c>
      <c r="B167" s="364">
        <f t="shared" si="75"/>
        <v>9.3868500000000008</v>
      </c>
      <c r="C167" s="337">
        <f t="shared" si="54"/>
        <v>1.0155554742716455</v>
      </c>
      <c r="D167" s="338">
        <f t="shared" si="55"/>
        <v>0.17525108363763167</v>
      </c>
      <c r="E167" s="338">
        <f t="shared" si="56"/>
        <v>1.0000001536827665</v>
      </c>
      <c r="F167" s="339">
        <f t="shared" si="57"/>
        <v>5.5440553177135005E-4</v>
      </c>
      <c r="G167" s="338">
        <f t="shared" si="58"/>
        <v>1</v>
      </c>
      <c r="H167" s="339">
        <f t="shared" si="59"/>
        <v>0</v>
      </c>
      <c r="I167" s="337">
        <f t="shared" si="60"/>
        <v>101917.81561664316</v>
      </c>
      <c r="J167" s="340">
        <f t="shared" si="61"/>
        <v>1.5707865149676516</v>
      </c>
      <c r="K167" s="348">
        <f t="shared" si="82"/>
        <v>1.8481366537043382</v>
      </c>
      <c r="L167" s="349">
        <f t="shared" si="83"/>
        <v>0.99906894233845223</v>
      </c>
      <c r="M167" s="337">
        <f t="shared" si="64"/>
        <v>1.0000405084929913</v>
      </c>
      <c r="N167" s="340">
        <f t="shared" si="65"/>
        <v>9.0007916974257987E-3</v>
      </c>
      <c r="O167" s="341">
        <f t="shared" si="66"/>
        <v>1.0000205243719014</v>
      </c>
      <c r="P167" s="342">
        <f t="shared" si="67"/>
        <v>1.4173569601354749E-2</v>
      </c>
      <c r="Q167" s="343">
        <f t="shared" si="68"/>
        <v>2.4582513978698257</v>
      </c>
      <c r="R167" s="344">
        <f t="shared" si="69"/>
        <v>-44.094179481254912</v>
      </c>
      <c r="S167" s="346">
        <f t="shared" si="70"/>
        <v>135.90582051874509</v>
      </c>
      <c r="U167" s="319">
        <f t="shared" si="76"/>
        <v>1000000000</v>
      </c>
      <c r="V167" s="319">
        <f t="shared" si="77"/>
        <v>88112952.922499999</v>
      </c>
      <c r="X167" s="345">
        <f t="shared" si="71"/>
        <v>2.8765520242670024</v>
      </c>
      <c r="Y167" s="346">
        <f t="shared" si="72"/>
        <v>-33.272711399675742</v>
      </c>
      <c r="AA167" s="345">
        <f t="shared" si="73"/>
        <v>32.805328242535204</v>
      </c>
      <c r="AB167" s="346">
        <f t="shared" si="74"/>
        <v>-10.821468081579166</v>
      </c>
      <c r="AD167">
        <f t="shared" si="78"/>
        <v>0</v>
      </c>
      <c r="AE167">
        <f t="shared" si="81"/>
        <v>0</v>
      </c>
    </row>
    <row r="168" spans="1:31" x14ac:dyDescent="0.2">
      <c r="A168" s="347">
        <v>9441.2000000000007</v>
      </c>
      <c r="B168" s="364">
        <f t="shared" si="75"/>
        <v>9.4412000000000003</v>
      </c>
      <c r="C168" s="337">
        <f t="shared" si="54"/>
        <v>1.0157347292285814</v>
      </c>
      <c r="D168" s="338">
        <f t="shared" si="55"/>
        <v>0.17624496556829955</v>
      </c>
      <c r="E168" s="338">
        <f t="shared" si="56"/>
        <v>1.0000001554675695</v>
      </c>
      <c r="F168" s="339">
        <f t="shared" si="57"/>
        <v>5.5761554731689517E-4</v>
      </c>
      <c r="G168" s="338">
        <f t="shared" si="58"/>
        <v>1</v>
      </c>
      <c r="H168" s="339">
        <f t="shared" si="59"/>
        <v>0</v>
      </c>
      <c r="I168" s="337">
        <f t="shared" si="60"/>
        <v>102507.92127277197</v>
      </c>
      <c r="J168" s="340">
        <f t="shared" si="61"/>
        <v>1.5707865714512355</v>
      </c>
      <c r="K168" s="348">
        <f t="shared" si="82"/>
        <v>1.8557108871947368</v>
      </c>
      <c r="L168" s="349">
        <f t="shared" si="83"/>
        <v>1.001692853339524</v>
      </c>
      <c r="M168" s="337">
        <f t="shared" si="64"/>
        <v>1.0000409789309144</v>
      </c>
      <c r="N168" s="340">
        <f t="shared" si="65"/>
        <v>9.0529035750226746E-3</v>
      </c>
      <c r="O168" s="341">
        <f t="shared" si="66"/>
        <v>1.0000207627678437</v>
      </c>
      <c r="P168" s="342">
        <f t="shared" si="67"/>
        <v>1.4255636923457233E-2</v>
      </c>
      <c r="Q168" s="343">
        <f t="shared" si="68"/>
        <v>2.4420905635291836</v>
      </c>
      <c r="R168" s="344">
        <f t="shared" si="69"/>
        <v>-44.008292912708249</v>
      </c>
      <c r="S168" s="346">
        <f t="shared" si="70"/>
        <v>135.99170708729176</v>
      </c>
      <c r="U168" s="319">
        <f t="shared" si="76"/>
        <v>1000000000</v>
      </c>
      <c r="V168" s="319">
        <f t="shared" si="77"/>
        <v>89136257.440000013</v>
      </c>
      <c r="X168" s="345">
        <f t="shared" si="71"/>
        <v>2.8619262498234468</v>
      </c>
      <c r="Y168" s="346">
        <f t="shared" si="72"/>
        <v>-33.125361400247776</v>
      </c>
      <c r="AA168" s="345">
        <f t="shared" si="73"/>
        <v>32.803793182638117</v>
      </c>
      <c r="AB168" s="346">
        <f t="shared" si="74"/>
        <v>-10.882931512460464</v>
      </c>
      <c r="AD168">
        <f t="shared" si="78"/>
        <v>0</v>
      </c>
      <c r="AE168">
        <f t="shared" si="81"/>
        <v>0</v>
      </c>
    </row>
    <row r="169" spans="1:31" x14ac:dyDescent="0.2">
      <c r="A169" s="347">
        <v>9495.5499999999993</v>
      </c>
      <c r="B169" s="364">
        <f t="shared" si="75"/>
        <v>9.4955499999999997</v>
      </c>
      <c r="C169" s="337">
        <f t="shared" si="54"/>
        <v>1.0159149871749438</v>
      </c>
      <c r="D169" s="338">
        <f t="shared" si="55"/>
        <v>0.17723849578302606</v>
      </c>
      <c r="E169" s="338">
        <f t="shared" si="56"/>
        <v>1.0000001572626767</v>
      </c>
      <c r="F169" s="339">
        <f t="shared" si="57"/>
        <v>5.6082556285094861E-4</v>
      </c>
      <c r="G169" s="338">
        <f t="shared" si="58"/>
        <v>1</v>
      </c>
      <c r="H169" s="339">
        <f t="shared" si="59"/>
        <v>0</v>
      </c>
      <c r="I169" s="337">
        <f t="shared" si="60"/>
        <v>103098.02692890112</v>
      </c>
      <c r="J169" s="340">
        <f t="shared" si="61"/>
        <v>1.5707866272882252</v>
      </c>
      <c r="K169" s="348">
        <f t="shared" si="82"/>
        <v>1.8632977931633965</v>
      </c>
      <c r="L169" s="349">
        <f t="shared" si="83"/>
        <v>1.0042954142531606</v>
      </c>
      <c r="M169" s="337">
        <f t="shared" si="64"/>
        <v>1.0000414520845939</v>
      </c>
      <c r="N169" s="340">
        <f t="shared" si="65"/>
        <v>9.1050154034492542E-3</v>
      </c>
      <c r="O169" s="341">
        <f t="shared" si="66"/>
        <v>1.0000210025409293</v>
      </c>
      <c r="P169" s="342">
        <f t="shared" si="67"/>
        <v>1.4337704282704406E-2</v>
      </c>
      <c r="Q169" s="343">
        <f t="shared" si="68"/>
        <v>2.4261236106231925</v>
      </c>
      <c r="R169" s="344">
        <f t="shared" si="69"/>
        <v>-43.923609424490728</v>
      </c>
      <c r="S169" s="346">
        <f t="shared" si="70"/>
        <v>136.07639057550927</v>
      </c>
      <c r="U169" s="319">
        <f t="shared" si="76"/>
        <v>1000000000</v>
      </c>
      <c r="V169" s="319">
        <f t="shared" si="77"/>
        <v>90165469.80249998</v>
      </c>
      <c r="X169" s="345">
        <f t="shared" si="71"/>
        <v>2.8475026735507387</v>
      </c>
      <c r="Y169" s="346">
        <f t="shared" si="72"/>
        <v>-32.979234630859125</v>
      </c>
      <c r="AA169" s="345">
        <f t="shared" si="73"/>
        <v>32.802249806004838</v>
      </c>
      <c r="AB169" s="346">
        <f t="shared" si="74"/>
        <v>-10.944374793631601</v>
      </c>
      <c r="AD169">
        <f t="shared" si="78"/>
        <v>0</v>
      </c>
      <c r="AE169">
        <f t="shared" si="81"/>
        <v>0</v>
      </c>
    </row>
    <row r="170" spans="1:31" x14ac:dyDescent="0.2">
      <c r="A170" s="347">
        <v>9549.9</v>
      </c>
      <c r="B170" s="364">
        <f t="shared" si="75"/>
        <v>9.5498999999999992</v>
      </c>
      <c r="C170" s="337">
        <f t="shared" si="54"/>
        <v>1.016096247576934</v>
      </c>
      <c r="D170" s="338">
        <f t="shared" si="55"/>
        <v>0.17823167250808938</v>
      </c>
      <c r="E170" s="338">
        <f t="shared" si="56"/>
        <v>1.000000159068088</v>
      </c>
      <c r="F170" s="339">
        <f t="shared" si="57"/>
        <v>5.6403557837344436E-4</v>
      </c>
      <c r="G170" s="338">
        <f t="shared" si="58"/>
        <v>1</v>
      </c>
      <c r="H170" s="339">
        <f t="shared" si="59"/>
        <v>0</v>
      </c>
      <c r="I170" s="337">
        <f t="shared" si="60"/>
        <v>103688.13258503057</v>
      </c>
      <c r="J170" s="340">
        <f t="shared" si="61"/>
        <v>1.5707866824896606</v>
      </c>
      <c r="K170" s="348">
        <f t="shared" si="82"/>
        <v>1.8708972174411374</v>
      </c>
      <c r="L170" s="349">
        <f t="shared" si="83"/>
        <v>1.0068768497744969</v>
      </c>
      <c r="M170" s="337">
        <f t="shared" si="64"/>
        <v>1.0000419279540262</v>
      </c>
      <c r="N170" s="340">
        <f t="shared" si="65"/>
        <v>9.1571271824225833E-3</v>
      </c>
      <c r="O170" s="341">
        <f t="shared" si="66"/>
        <v>1.0000212436911722</v>
      </c>
      <c r="P170" s="342">
        <f t="shared" si="67"/>
        <v>1.4419771679309917E-2</v>
      </c>
      <c r="Q170" s="343">
        <f t="shared" si="68"/>
        <v>2.4103470020187596</v>
      </c>
      <c r="R170" s="344">
        <f t="shared" si="69"/>
        <v>-43.840116041521242</v>
      </c>
      <c r="S170" s="346">
        <f t="shared" si="70"/>
        <v>136.15988395847876</v>
      </c>
      <c r="U170" s="319">
        <f t="shared" si="76"/>
        <v>1000000000</v>
      </c>
      <c r="V170" s="319">
        <f t="shared" si="77"/>
        <v>91200590.00999999</v>
      </c>
      <c r="X170" s="345">
        <f t="shared" si="71"/>
        <v>2.8332777492844032</v>
      </c>
      <c r="Y170" s="346">
        <f t="shared" si="72"/>
        <v>-32.834318218043173</v>
      </c>
      <c r="AA170" s="345">
        <f t="shared" si="73"/>
        <v>32.800698121666741</v>
      </c>
      <c r="AB170" s="346">
        <f t="shared" si="74"/>
        <v>-11.005797823478053</v>
      </c>
      <c r="AD170">
        <f t="shared" si="78"/>
        <v>0</v>
      </c>
      <c r="AE170">
        <f t="shared" si="81"/>
        <v>0</v>
      </c>
    </row>
    <row r="171" spans="1:31" x14ac:dyDescent="0.2">
      <c r="A171" s="347">
        <v>9605.5249999999996</v>
      </c>
      <c r="B171" s="364">
        <f t="shared" si="75"/>
        <v>9.6055250000000001</v>
      </c>
      <c r="C171" s="337">
        <f t="shared" si="54"/>
        <v>1.016282797624571</v>
      </c>
      <c r="D171" s="338">
        <f t="shared" si="55"/>
        <v>0.17924778035469455</v>
      </c>
      <c r="E171" s="338">
        <f t="shared" si="56"/>
        <v>1.0000001609265221</v>
      </c>
      <c r="F171" s="339">
        <f t="shared" si="57"/>
        <v>5.6732089783590313E-4</v>
      </c>
      <c r="G171" s="338">
        <f t="shared" si="58"/>
        <v>1</v>
      </c>
      <c r="H171" s="339">
        <f t="shared" si="59"/>
        <v>0</v>
      </c>
      <c r="I171" s="337">
        <f t="shared" si="60"/>
        <v>104292.08156612016</v>
      </c>
      <c r="J171" s="340">
        <f t="shared" si="61"/>
        <v>1.5707867383392344</v>
      </c>
      <c r="K171" s="348">
        <f t="shared" si="82"/>
        <v>1.8786877208054922</v>
      </c>
      <c r="L171" s="349">
        <f t="shared" si="83"/>
        <v>1.0094972006246803</v>
      </c>
      <c r="M171" s="337">
        <f t="shared" si="64"/>
        <v>1.0000424177989682</v>
      </c>
      <c r="N171" s="340">
        <f t="shared" si="65"/>
        <v>9.2104614033285421E-3</v>
      </c>
      <c r="O171" s="341">
        <f t="shared" si="66"/>
        <v>1.0000214919245842</v>
      </c>
      <c r="P171" s="342">
        <f t="shared" si="67"/>
        <v>1.4503764338936994E-2</v>
      </c>
      <c r="Q171" s="343">
        <f t="shared" si="68"/>
        <v>2.3943937702136355</v>
      </c>
      <c r="R171" s="344">
        <f t="shared" si="69"/>
        <v>-43.75588290368011</v>
      </c>
      <c r="S171" s="346">
        <f t="shared" si="70"/>
        <v>136.24411709631988</v>
      </c>
      <c r="U171" s="319">
        <f t="shared" si="76"/>
        <v>1000000000</v>
      </c>
      <c r="V171" s="319">
        <f t="shared" si="77"/>
        <v>92266110.52562499</v>
      </c>
      <c r="X171" s="345">
        <f t="shared" si="71"/>
        <v>2.818921195735272</v>
      </c>
      <c r="Y171" s="346">
        <f t="shared" si="72"/>
        <v>-32.687242199022485</v>
      </c>
      <c r="AA171" s="345">
        <f t="shared" si="73"/>
        <v>32.799101443410741</v>
      </c>
      <c r="AB171" s="346">
        <f t="shared" si="74"/>
        <v>-11.068640704657623</v>
      </c>
      <c r="AD171">
        <f t="shared" si="78"/>
        <v>0</v>
      </c>
      <c r="AE171">
        <f t="shared" si="81"/>
        <v>0</v>
      </c>
    </row>
    <row r="172" spans="1:31" x14ac:dyDescent="0.2">
      <c r="A172" s="347">
        <v>9661.15</v>
      </c>
      <c r="B172" s="364">
        <f t="shared" si="75"/>
        <v>9.6611499999999992</v>
      </c>
      <c r="C172" s="337">
        <f t="shared" si="54"/>
        <v>1.0164703965731703</v>
      </c>
      <c r="D172" s="338">
        <f t="shared" si="55"/>
        <v>0.18026351418562453</v>
      </c>
      <c r="E172" s="338">
        <f t="shared" si="56"/>
        <v>1.0000001627957498</v>
      </c>
      <c r="F172" s="339">
        <f t="shared" si="57"/>
        <v>5.706062172861154E-4</v>
      </c>
      <c r="G172" s="338">
        <f t="shared" si="58"/>
        <v>1</v>
      </c>
      <c r="H172" s="339">
        <f t="shared" si="59"/>
        <v>0</v>
      </c>
      <c r="I172" s="337">
        <f t="shared" si="60"/>
        <v>104896.03054721006</v>
      </c>
      <c r="J172" s="340">
        <f t="shared" si="61"/>
        <v>1.5707867935456898</v>
      </c>
      <c r="K172" s="348">
        <f t="shared" si="82"/>
        <v>1.8864910170961477</v>
      </c>
      <c r="L172" s="349">
        <f t="shared" si="83"/>
        <v>1.0120958915156175</v>
      </c>
      <c r="M172" s="337">
        <f t="shared" si="64"/>
        <v>1.0000429104885671</v>
      </c>
      <c r="N172" s="340">
        <f t="shared" si="65"/>
        <v>9.2637955718340367E-3</v>
      </c>
      <c r="O172" s="341">
        <f t="shared" si="66"/>
        <v>1.0000217416005552</v>
      </c>
      <c r="P172" s="342">
        <f t="shared" si="67"/>
        <v>1.4587757038148578E-2</v>
      </c>
      <c r="Q172" s="343">
        <f t="shared" si="68"/>
        <v>2.3786326569937537</v>
      </c>
      <c r="R172" s="344">
        <f t="shared" si="69"/>
        <v>-43.672869322988383</v>
      </c>
      <c r="S172" s="346">
        <f t="shared" si="70"/>
        <v>136.32713067701161</v>
      </c>
      <c r="U172" s="319">
        <f t="shared" si="76"/>
        <v>1000000000</v>
      </c>
      <c r="V172" s="319">
        <f t="shared" si="77"/>
        <v>93337819.32249999</v>
      </c>
      <c r="X172" s="345">
        <f t="shared" si="71"/>
        <v>2.8047654435565272</v>
      </c>
      <c r="Y172" s="346">
        <f t="shared" si="72"/>
        <v>-32.541407164402145</v>
      </c>
      <c r="AA172" s="345">
        <f t="shared" si="73"/>
        <v>32.797496082369605</v>
      </c>
      <c r="AB172" s="346">
        <f t="shared" si="74"/>
        <v>-11.131462158586237</v>
      </c>
      <c r="AD172">
        <f t="shared" si="78"/>
        <v>0</v>
      </c>
      <c r="AE172">
        <f t="shared" si="81"/>
        <v>0</v>
      </c>
    </row>
    <row r="173" spans="1:31" x14ac:dyDescent="0.2">
      <c r="A173" s="347">
        <v>9716.7749999999996</v>
      </c>
      <c r="B173" s="364">
        <f t="shared" si="75"/>
        <v>9.7167750000000002</v>
      </c>
      <c r="C173" s="337">
        <f t="shared" si="54"/>
        <v>1.0166590438420873</v>
      </c>
      <c r="D173" s="338">
        <f t="shared" si="55"/>
        <v>0.18127887211261157</v>
      </c>
      <c r="E173" s="338">
        <f t="shared" si="56"/>
        <v>1.0000001646757706</v>
      </c>
      <c r="F173" s="339">
        <f t="shared" si="57"/>
        <v>5.7389153672401027E-4</v>
      </c>
      <c r="G173" s="338">
        <f t="shared" si="58"/>
        <v>1</v>
      </c>
      <c r="H173" s="339">
        <f t="shared" si="59"/>
        <v>0</v>
      </c>
      <c r="I173" s="337">
        <f t="shared" si="60"/>
        <v>105499.97952830029</v>
      </c>
      <c r="J173" s="340">
        <f t="shared" si="61"/>
        <v>1.5707868481200713</v>
      </c>
      <c r="K173" s="348">
        <f t="shared" si="82"/>
        <v>1.8943069482178334</v>
      </c>
      <c r="L173" s="349">
        <f t="shared" si="83"/>
        <v>1.0146731552380166</v>
      </c>
      <c r="M173" s="337">
        <f t="shared" si="64"/>
        <v>1.0000434060228189</v>
      </c>
      <c r="N173" s="340">
        <f t="shared" si="65"/>
        <v>9.3171296876357213E-3</v>
      </c>
      <c r="O173" s="341">
        <f t="shared" si="66"/>
        <v>1.0000219927191003</v>
      </c>
      <c r="P173" s="342">
        <f t="shared" si="67"/>
        <v>1.4671749777173696E-2</v>
      </c>
      <c r="Q173" s="343">
        <f t="shared" si="68"/>
        <v>2.3630601058225293</v>
      </c>
      <c r="R173" s="344">
        <f t="shared" si="69"/>
        <v>-43.591061853959744</v>
      </c>
      <c r="S173" s="346">
        <f t="shared" si="70"/>
        <v>136.40893814604027</v>
      </c>
      <c r="U173" s="319">
        <f t="shared" si="76"/>
        <v>1000000000</v>
      </c>
      <c r="V173" s="319">
        <f t="shared" si="77"/>
        <v>94415716.40062499</v>
      </c>
      <c r="X173" s="345">
        <f t="shared" si="71"/>
        <v>2.7908069263966411</v>
      </c>
      <c r="Y173" s="346">
        <f t="shared" si="72"/>
        <v>-32.396799776872498</v>
      </c>
      <c r="AA173" s="345">
        <f t="shared" si="73"/>
        <v>32.795882048358266</v>
      </c>
      <c r="AB173" s="346">
        <f t="shared" si="74"/>
        <v>-11.194262077087243</v>
      </c>
      <c r="AD173">
        <f t="shared" si="78"/>
        <v>0</v>
      </c>
      <c r="AE173">
        <f t="shared" si="81"/>
        <v>0</v>
      </c>
    </row>
    <row r="174" spans="1:31" x14ac:dyDescent="0.2">
      <c r="A174" s="347">
        <v>9772.4</v>
      </c>
      <c r="B174" s="364">
        <f t="shared" si="75"/>
        <v>9.7723999999999993</v>
      </c>
      <c r="C174" s="337">
        <f t="shared" si="54"/>
        <v>1.016848738847864</v>
      </c>
      <c r="D174" s="338">
        <f t="shared" si="55"/>
        <v>0.18229385225188546</v>
      </c>
      <c r="E174" s="338">
        <f t="shared" si="56"/>
        <v>1.0000001665665847</v>
      </c>
      <c r="F174" s="339">
        <f t="shared" si="57"/>
        <v>5.7717685614951651E-4</v>
      </c>
      <c r="G174" s="338">
        <f t="shared" si="58"/>
        <v>1</v>
      </c>
      <c r="H174" s="339">
        <f t="shared" si="59"/>
        <v>0</v>
      </c>
      <c r="I174" s="337">
        <f t="shared" si="60"/>
        <v>106103.92850939081</v>
      </c>
      <c r="J174" s="340">
        <f t="shared" si="61"/>
        <v>1.5707869020731726</v>
      </c>
      <c r="K174" s="348">
        <f t="shared" si="82"/>
        <v>1.9021353584198584</v>
      </c>
      <c r="L174" s="349">
        <f t="shared" si="83"/>
        <v>1.0172292218982035</v>
      </c>
      <c r="M174" s="337">
        <f t="shared" si="64"/>
        <v>1.0000439044017193</v>
      </c>
      <c r="N174" s="340">
        <f t="shared" si="65"/>
        <v>9.3704637504302551E-3</v>
      </c>
      <c r="O174" s="341">
        <f t="shared" si="66"/>
        <v>1.0000222452802343</v>
      </c>
      <c r="P174" s="342">
        <f t="shared" si="67"/>
        <v>1.475574255624139E-2</v>
      </c>
      <c r="Q174" s="343">
        <f t="shared" si="68"/>
        <v>2.3476726357332205</v>
      </c>
      <c r="R174" s="344">
        <f t="shared" si="69"/>
        <v>-43.510447205154939</v>
      </c>
      <c r="S174" s="346">
        <f t="shared" si="70"/>
        <v>136.48955279484505</v>
      </c>
      <c r="U174" s="319">
        <f t="shared" si="76"/>
        <v>1000000000</v>
      </c>
      <c r="V174" s="319">
        <f t="shared" si="77"/>
        <v>95499801.75999999</v>
      </c>
      <c r="X174" s="345">
        <f t="shared" si="71"/>
        <v>2.777042153429472</v>
      </c>
      <c r="Y174" s="346">
        <f t="shared" si="72"/>
        <v>-32.253406852913237</v>
      </c>
      <c r="AA174" s="345">
        <f t="shared" si="73"/>
        <v>32.794259351236128</v>
      </c>
      <c r="AB174" s="346">
        <f t="shared" si="74"/>
        <v>-11.257040352241694</v>
      </c>
      <c r="AD174">
        <f t="shared" si="78"/>
        <v>0</v>
      </c>
      <c r="AE174">
        <f t="shared" si="81"/>
        <v>0</v>
      </c>
    </row>
    <row r="175" spans="1:31" x14ac:dyDescent="0.2">
      <c r="A175" s="347">
        <v>9829.2999999999993</v>
      </c>
      <c r="B175" s="364">
        <f t="shared" si="75"/>
        <v>9.8292999999999999</v>
      </c>
      <c r="C175" s="337">
        <f t="shared" si="54"/>
        <v>1.017043865343124</v>
      </c>
      <c r="D175" s="338">
        <f t="shared" si="55"/>
        <v>0.18333170426921253</v>
      </c>
      <c r="E175" s="338">
        <f t="shared" si="56"/>
        <v>1.0000001685119062</v>
      </c>
      <c r="F175" s="339">
        <f t="shared" si="57"/>
        <v>5.8053747951300819E-4</v>
      </c>
      <c r="G175" s="338">
        <f t="shared" si="58"/>
        <v>1</v>
      </c>
      <c r="H175" s="339">
        <f t="shared" si="59"/>
        <v>0</v>
      </c>
      <c r="I175" s="337">
        <f t="shared" si="60"/>
        <v>106721.7208154415</v>
      </c>
      <c r="J175" s="340">
        <f t="shared" si="61"/>
        <v>1.5707869566311439</v>
      </c>
      <c r="K175" s="348">
        <f t="shared" si="82"/>
        <v>1.9101559577941611</v>
      </c>
      <c r="L175" s="349">
        <f t="shared" si="83"/>
        <v>1.0198221827309675</v>
      </c>
      <c r="M175" s="337">
        <f t="shared" si="64"/>
        <v>1.0000444171473322</v>
      </c>
      <c r="N175" s="340">
        <f t="shared" si="65"/>
        <v>9.4250202466953162E-3</v>
      </c>
      <c r="O175" s="341">
        <f t="shared" si="66"/>
        <v>1.0000225051229938</v>
      </c>
      <c r="P175" s="342">
        <f t="shared" si="67"/>
        <v>1.4841660604722603E-2</v>
      </c>
      <c r="Q175" s="343">
        <f t="shared" si="68"/>
        <v>2.3321204054661351</v>
      </c>
      <c r="R175" s="344">
        <f t="shared" si="69"/>
        <v>-43.429205208203186</v>
      </c>
      <c r="S175" s="346">
        <f t="shared" si="70"/>
        <v>136.5707947917968</v>
      </c>
      <c r="U175" s="319">
        <f t="shared" si="76"/>
        <v>1000000000</v>
      </c>
      <c r="V175" s="319">
        <f t="shared" si="77"/>
        <v>96615138.48999998</v>
      </c>
      <c r="X175" s="345">
        <f t="shared" si="71"/>
        <v>2.7631587676069835</v>
      </c>
      <c r="Y175" s="346">
        <f t="shared" si="72"/>
        <v>-32.107970123509453</v>
      </c>
      <c r="AA175" s="345">
        <f t="shared" si="73"/>
        <v>32.792590506791534</v>
      </c>
      <c r="AB175" s="346">
        <f t="shared" si="74"/>
        <v>-11.32123508469374</v>
      </c>
      <c r="AD175">
        <f t="shared" si="78"/>
        <v>0</v>
      </c>
      <c r="AE175">
        <f t="shared" si="81"/>
        <v>0</v>
      </c>
    </row>
    <row r="176" spans="1:31" x14ac:dyDescent="0.2">
      <c r="A176" s="347">
        <v>9886.2000000000007</v>
      </c>
      <c r="B176" s="364">
        <f t="shared" si="75"/>
        <v>9.8862000000000005</v>
      </c>
      <c r="C176" s="337">
        <f t="shared" si="54"/>
        <v>1.0172400869128055</v>
      </c>
      <c r="D176" s="338">
        <f t="shared" si="55"/>
        <v>0.18436915700860157</v>
      </c>
      <c r="E176" s="338">
        <f t="shared" si="56"/>
        <v>1.0000001704685215</v>
      </c>
      <c r="F176" s="339">
        <f t="shared" si="57"/>
        <v>5.8389810286338687E-4</v>
      </c>
      <c r="G176" s="338">
        <f t="shared" si="58"/>
        <v>1</v>
      </c>
      <c r="H176" s="339">
        <f t="shared" si="59"/>
        <v>0</v>
      </c>
      <c r="I176" s="337">
        <f t="shared" si="60"/>
        <v>107339.51312149249</v>
      </c>
      <c r="J176" s="340">
        <f t="shared" si="61"/>
        <v>1.5707870105610986</v>
      </c>
      <c r="K176" s="348">
        <f t="shared" si="82"/>
        <v>1.9181892925480941</v>
      </c>
      <c r="L176" s="349">
        <f t="shared" si="83"/>
        <v>1.0223934422046981</v>
      </c>
      <c r="M176" s="337">
        <f t="shared" si="64"/>
        <v>1.0000449328694854</v>
      </c>
      <c r="N176" s="340">
        <f t="shared" si="65"/>
        <v>9.4795766868533034E-3</v>
      </c>
      <c r="O176" s="341">
        <f t="shared" si="66"/>
        <v>1.0000227664752654</v>
      </c>
      <c r="P176" s="342">
        <f t="shared" si="67"/>
        <v>1.4927578695587865E-2</v>
      </c>
      <c r="Q176" s="343">
        <f t="shared" si="68"/>
        <v>2.3167547041330367</v>
      </c>
      <c r="R176" s="344">
        <f t="shared" si="69"/>
        <v>-43.349183693826248</v>
      </c>
      <c r="S176" s="346">
        <f t="shared" si="70"/>
        <v>136.65081630617374</v>
      </c>
      <c r="U176" s="319">
        <f t="shared" si="76"/>
        <v>1000000000</v>
      </c>
      <c r="V176" s="319">
        <f t="shared" si="77"/>
        <v>97736950.440000013</v>
      </c>
      <c r="X176" s="345">
        <f t="shared" si="71"/>
        <v>2.7494709545100013</v>
      </c>
      <c r="Y176" s="346">
        <f t="shared" si="72"/>
        <v>-31.963776751192007</v>
      </c>
      <c r="AA176" s="345">
        <f t="shared" si="73"/>
        <v>32.790912618555417</v>
      </c>
      <c r="AB176" s="346">
        <f t="shared" si="74"/>
        <v>-11.385406942634235</v>
      </c>
      <c r="AD176">
        <f t="shared" si="78"/>
        <v>0</v>
      </c>
      <c r="AE176">
        <f t="shared" si="81"/>
        <v>0</v>
      </c>
    </row>
    <row r="177" spans="1:31" x14ac:dyDescent="0.2">
      <c r="A177" s="347">
        <v>9943.1</v>
      </c>
      <c r="B177" s="364">
        <f t="shared" si="75"/>
        <v>9.9431000000000012</v>
      </c>
      <c r="C177" s="337">
        <f t="shared" si="54"/>
        <v>1.0174374029233253</v>
      </c>
      <c r="D177" s="338">
        <f t="shared" si="55"/>
        <v>0.18540620846847611</v>
      </c>
      <c r="E177" s="338">
        <f t="shared" si="56"/>
        <v>1.0000001724364305</v>
      </c>
      <c r="F177" s="339">
        <f t="shared" si="57"/>
        <v>5.8725872620057679E-4</v>
      </c>
      <c r="G177" s="338">
        <f t="shared" si="58"/>
        <v>1</v>
      </c>
      <c r="H177" s="339">
        <f t="shared" si="59"/>
        <v>0</v>
      </c>
      <c r="I177" s="337">
        <f t="shared" si="60"/>
        <v>107957.30542754378</v>
      </c>
      <c r="J177" s="340">
        <f t="shared" si="61"/>
        <v>1.5707870638738182</v>
      </c>
      <c r="K177" s="348">
        <f t="shared" si="82"/>
        <v>1.9262352033435399</v>
      </c>
      <c r="L177" s="349">
        <f t="shared" si="83"/>
        <v>1.0249432380470125</v>
      </c>
      <c r="M177" s="337">
        <f t="shared" si="64"/>
        <v>1.0000454515681745</v>
      </c>
      <c r="N177" s="340">
        <f t="shared" si="65"/>
        <v>9.5341330705795337E-3</v>
      </c>
      <c r="O177" s="341">
        <f t="shared" si="66"/>
        <v>1.0000230293370662</v>
      </c>
      <c r="P177" s="342">
        <f t="shared" si="67"/>
        <v>1.5013496829082299E-2</v>
      </c>
      <c r="Q177" s="343">
        <f t="shared" si="68"/>
        <v>2.3015720394869996</v>
      </c>
      <c r="R177" s="344">
        <f t="shared" si="69"/>
        <v>-43.270368927166196</v>
      </c>
      <c r="S177" s="346">
        <f t="shared" si="70"/>
        <v>136.7296310728338</v>
      </c>
      <c r="U177" s="319">
        <f t="shared" si="76"/>
        <v>1000000000</v>
      </c>
      <c r="V177" s="319">
        <f t="shared" si="77"/>
        <v>98865237.610000014</v>
      </c>
      <c r="X177" s="345">
        <f t="shared" si="71"/>
        <v>2.7359752111954938</v>
      </c>
      <c r="Y177" s="346">
        <f t="shared" si="72"/>
        <v>-31.820813115770861</v>
      </c>
      <c r="AA177" s="345">
        <f t="shared" si="73"/>
        <v>32.789225697223884</v>
      </c>
      <c r="AB177" s="346">
        <f t="shared" si="74"/>
        <v>-11.449555811395346</v>
      </c>
      <c r="AD177">
        <f t="shared" si="78"/>
        <v>0</v>
      </c>
      <c r="AE177">
        <f t="shared" si="81"/>
        <v>0</v>
      </c>
    </row>
    <row r="178" spans="1:31" x14ac:dyDescent="0.2">
      <c r="A178" s="347">
        <v>10000</v>
      </c>
      <c r="B178" s="364">
        <f t="shared" si="75"/>
        <v>10</v>
      </c>
      <c r="C178" s="337">
        <f t="shared" si="54"/>
        <v>1.0176358127380585</v>
      </c>
      <c r="D178" s="338">
        <f t="shared" si="55"/>
        <v>0.18644285665226046</v>
      </c>
      <c r="E178" s="338">
        <f t="shared" si="56"/>
        <v>1.0000001744156333</v>
      </c>
      <c r="F178" s="339">
        <f t="shared" si="57"/>
        <v>5.9061934952450181E-4</v>
      </c>
      <c r="G178" s="338">
        <f t="shared" si="58"/>
        <v>1</v>
      </c>
      <c r="H178" s="339">
        <f t="shared" si="59"/>
        <v>0</v>
      </c>
      <c r="I178" s="337">
        <f t="shared" si="60"/>
        <v>108575.09773359539</v>
      </c>
      <c r="J178" s="340">
        <f t="shared" si="61"/>
        <v>1.570787116579839</v>
      </c>
      <c r="K178" s="348">
        <f t="shared" si="82"/>
        <v>1.9342935332461413</v>
      </c>
      <c r="L178" s="349">
        <f t="shared" si="83"/>
        <v>1.0274718051496603</v>
      </c>
      <c r="M178" s="337">
        <f t="shared" si="64"/>
        <v>1.0000459732433948</v>
      </c>
      <c r="N178" s="340">
        <f t="shared" si="65"/>
        <v>9.5886893975493364E-3</v>
      </c>
      <c r="O178" s="341">
        <f t="shared" si="66"/>
        <v>1.0000232937084128</v>
      </c>
      <c r="P178" s="342">
        <f t="shared" si="67"/>
        <v>1.5099415005451037E-2</v>
      </c>
      <c r="Q178" s="343">
        <f t="shared" si="68"/>
        <v>2.2865689942148086</v>
      </c>
      <c r="R178" s="344">
        <f t="shared" si="69"/>
        <v>-43.192747336120974</v>
      </c>
      <c r="S178" s="346">
        <f t="shared" si="70"/>
        <v>136.80725266387901</v>
      </c>
      <c r="U178" s="319">
        <f t="shared" si="76"/>
        <v>1000000000</v>
      </c>
      <c r="V178" s="319">
        <f t="shared" si="77"/>
        <v>100000000</v>
      </c>
      <c r="X178" s="345">
        <f t="shared" si="71"/>
        <v>2.7226681096063032</v>
      </c>
      <c r="Y178" s="346">
        <f t="shared" si="72"/>
        <v>-31.679065759525209</v>
      </c>
      <c r="AA178" s="345">
        <f t="shared" si="73"/>
        <v>32.787529753540888</v>
      </c>
      <c r="AB178" s="346">
        <f t="shared" si="74"/>
        <v>-11.51368157659576</v>
      </c>
      <c r="AD178">
        <f t="shared" si="78"/>
        <v>0</v>
      </c>
      <c r="AE178">
        <f t="shared" si="81"/>
        <v>0</v>
      </c>
    </row>
    <row r="179" spans="1:31" x14ac:dyDescent="0.2">
      <c r="A179" s="347">
        <v>10058.25</v>
      </c>
      <c r="B179" s="364">
        <f t="shared" si="75"/>
        <v>10.058249999999999</v>
      </c>
      <c r="C179" s="337">
        <f t="shared" si="54"/>
        <v>1.0178400623626185</v>
      </c>
      <c r="D179" s="338">
        <f t="shared" si="55"/>
        <v>0.1875036803586306</v>
      </c>
      <c r="E179" s="338">
        <f t="shared" si="56"/>
        <v>1.0000001764534934</v>
      </c>
      <c r="F179" s="339">
        <f t="shared" si="57"/>
        <v>5.9405970642840847E-4</v>
      </c>
      <c r="G179" s="338">
        <f t="shared" si="58"/>
        <v>1</v>
      </c>
      <c r="H179" s="339">
        <f t="shared" si="59"/>
        <v>0</v>
      </c>
      <c r="I179" s="337">
        <f t="shared" si="60"/>
        <v>109207.54767784008</v>
      </c>
      <c r="J179" s="340">
        <f t="shared" si="61"/>
        <v>1.5707871699186433</v>
      </c>
      <c r="K179" s="348">
        <f t="shared" si="82"/>
        <v>1.9425557569693008</v>
      </c>
      <c r="L179" s="349">
        <f t="shared" si="83"/>
        <v>1.0300386166902118</v>
      </c>
      <c r="M179" s="337">
        <f t="shared" si="64"/>
        <v>1.0000465103790903</v>
      </c>
      <c r="N179" s="340">
        <f t="shared" si="65"/>
        <v>9.6445400597887296E-3</v>
      </c>
      <c r="O179" s="341">
        <f t="shared" si="66"/>
        <v>1.0000235659159016</v>
      </c>
      <c r="P179" s="342">
        <f t="shared" si="67"/>
        <v>1.5187371706946572E-2</v>
      </c>
      <c r="Q179" s="343">
        <f t="shared" si="68"/>
        <v>2.2713925603969889</v>
      </c>
      <c r="R179" s="344">
        <f t="shared" si="69"/>
        <v>-43.114506082297581</v>
      </c>
      <c r="S179" s="346">
        <f t="shared" si="70"/>
        <v>136.88549391770243</v>
      </c>
      <c r="U179" s="319">
        <f t="shared" si="76"/>
        <v>1000000000</v>
      </c>
      <c r="V179" s="319">
        <f t="shared" si="77"/>
        <v>101168393.0625</v>
      </c>
      <c r="X179" s="345">
        <f t="shared" si="71"/>
        <v>2.7092371918689322</v>
      </c>
      <c r="Y179" s="346">
        <f t="shared" si="72"/>
        <v>-31.535201354599433</v>
      </c>
      <c r="AA179" s="345">
        <f t="shared" si="73"/>
        <v>32.785784237460433</v>
      </c>
      <c r="AB179" s="346">
        <f t="shared" si="74"/>
        <v>-11.579304727698155</v>
      </c>
      <c r="AD179">
        <f t="shared" si="78"/>
        <v>0</v>
      </c>
      <c r="AE179">
        <f t="shared" si="81"/>
        <v>0</v>
      </c>
    </row>
    <row r="180" spans="1:31" x14ac:dyDescent="0.2">
      <c r="A180" s="347">
        <v>10116.5</v>
      </c>
      <c r="B180" s="364">
        <f t="shared" si="75"/>
        <v>10.1165</v>
      </c>
      <c r="C180" s="337">
        <f t="shared" si="54"/>
        <v>1.0180454569500117</v>
      </c>
      <c r="D180" s="338">
        <f t="shared" si="55"/>
        <v>0.18856407720738727</v>
      </c>
      <c r="E180" s="338">
        <f t="shared" si="56"/>
        <v>1.0000001785031893</v>
      </c>
      <c r="F180" s="339">
        <f t="shared" si="57"/>
        <v>5.9750006331825249E-4</v>
      </c>
      <c r="G180" s="338">
        <f t="shared" si="58"/>
        <v>1</v>
      </c>
      <c r="H180" s="339">
        <f t="shared" si="59"/>
        <v>0</v>
      </c>
      <c r="I180" s="337">
        <f t="shared" si="60"/>
        <v>109839.99762208508</v>
      </c>
      <c r="J180" s="340">
        <f t="shared" si="61"/>
        <v>1.5707872226432062</v>
      </c>
      <c r="K180" s="348">
        <f t="shared" si="82"/>
        <v>1.9508306708039811</v>
      </c>
      <c r="L180" s="349">
        <f t="shared" si="83"/>
        <v>1.0325836693932551</v>
      </c>
      <c r="M180" s="337">
        <f t="shared" si="64"/>
        <v>1.0000470506342241</v>
      </c>
      <c r="N180" s="340">
        <f t="shared" si="65"/>
        <v>9.700390661857964E-3</v>
      </c>
      <c r="O180" s="341">
        <f t="shared" si="66"/>
        <v>1.0000238397054522</v>
      </c>
      <c r="P180" s="342">
        <f t="shared" si="67"/>
        <v>1.5275328453894876E-2</v>
      </c>
      <c r="Q180" s="343">
        <f t="shared" si="68"/>
        <v>2.2563973552520213</v>
      </c>
      <c r="R180" s="344">
        <f t="shared" si="69"/>
        <v>-43.037487024856375</v>
      </c>
      <c r="S180" s="346">
        <f t="shared" si="70"/>
        <v>136.96251297514362</v>
      </c>
      <c r="U180" s="319">
        <f t="shared" si="76"/>
        <v>1000000000</v>
      </c>
      <c r="V180" s="319">
        <f t="shared" si="77"/>
        <v>102343572.25</v>
      </c>
      <c r="X180" s="345">
        <f t="shared" si="71"/>
        <v>2.6959969354210389</v>
      </c>
      <c r="Y180" s="346">
        <f t="shared" si="72"/>
        <v>-31.392583600590498</v>
      </c>
      <c r="AA180" s="345">
        <f t="shared" si="73"/>
        <v>32.784029288763364</v>
      </c>
      <c r="AB180" s="346">
        <f t="shared" si="74"/>
        <v>-11.644903424265873</v>
      </c>
      <c r="AD180">
        <f t="shared" si="78"/>
        <v>0</v>
      </c>
      <c r="AE180">
        <f t="shared" si="81"/>
        <v>0</v>
      </c>
    </row>
    <row r="181" spans="1:31" x14ac:dyDescent="0.2">
      <c r="A181" s="347">
        <v>10174.75</v>
      </c>
      <c r="B181" s="364">
        <f t="shared" si="75"/>
        <v>10.17475</v>
      </c>
      <c r="C181" s="337">
        <f t="shared" si="54"/>
        <v>1.0182519958073766</v>
      </c>
      <c r="D181" s="338">
        <f t="shared" si="55"/>
        <v>0.18962404507285482</v>
      </c>
      <c r="E181" s="338">
        <f t="shared" si="56"/>
        <v>1.0000001805647216</v>
      </c>
      <c r="F181" s="339">
        <f t="shared" si="57"/>
        <v>6.0094042019395244E-4</v>
      </c>
      <c r="G181" s="338">
        <f t="shared" si="58"/>
        <v>1</v>
      </c>
      <c r="H181" s="339">
        <f t="shared" si="59"/>
        <v>0</v>
      </c>
      <c r="I181" s="337">
        <f t="shared" si="60"/>
        <v>110472.44756633039</v>
      </c>
      <c r="J181" s="340">
        <f t="shared" si="61"/>
        <v>1.5707872747640776</v>
      </c>
      <c r="K181" s="348">
        <f t="shared" si="82"/>
        <v>1.9591181139488896</v>
      </c>
      <c r="L181" s="349">
        <f t="shared" si="83"/>
        <v>1.0351072062106768</v>
      </c>
      <c r="M181" s="337">
        <f t="shared" si="64"/>
        <v>1.000047594008791</v>
      </c>
      <c r="N181" s="340">
        <f t="shared" si="65"/>
        <v>9.7562412034087088E-3</v>
      </c>
      <c r="O181" s="341">
        <f t="shared" si="66"/>
        <v>1.0000241150770834</v>
      </c>
      <c r="P181" s="342">
        <f t="shared" si="67"/>
        <v>1.5363285246558925E-2</v>
      </c>
      <c r="Q181" s="343">
        <f t="shared" si="68"/>
        <v>2.2415799445818227</v>
      </c>
      <c r="R181" s="344">
        <f t="shared" si="69"/>
        <v>-42.961676122486871</v>
      </c>
      <c r="S181" s="346">
        <f t="shared" si="70"/>
        <v>137.03832387751314</v>
      </c>
      <c r="U181" s="319">
        <f t="shared" si="76"/>
        <v>1000000000</v>
      </c>
      <c r="V181" s="319">
        <f t="shared" si="77"/>
        <v>103525537.5625</v>
      </c>
      <c r="X181" s="345">
        <f t="shared" si="71"/>
        <v>2.6829438943833308</v>
      </c>
      <c r="Y181" s="346">
        <f t="shared" si="72"/>
        <v>-31.25119857796513</v>
      </c>
      <c r="AA181" s="345">
        <f t="shared" si="73"/>
        <v>32.782264919130874</v>
      </c>
      <c r="AB181" s="346">
        <f t="shared" si="74"/>
        <v>-11.710477544521744</v>
      </c>
      <c r="AD181">
        <f t="shared" si="78"/>
        <v>0</v>
      </c>
      <c r="AE181">
        <f t="shared" si="81"/>
        <v>0</v>
      </c>
    </row>
    <row r="182" spans="1:31" x14ac:dyDescent="0.2">
      <c r="A182" s="347">
        <v>10233</v>
      </c>
      <c r="B182" s="364">
        <f t="shared" si="75"/>
        <v>10.233000000000001</v>
      </c>
      <c r="C182" s="337">
        <f t="shared" si="54"/>
        <v>1.0184596782385555</v>
      </c>
      <c r="D182" s="338">
        <f t="shared" si="55"/>
        <v>0.19068358183493284</v>
      </c>
      <c r="E182" s="338">
        <f t="shared" si="56"/>
        <v>1.0000001826380895</v>
      </c>
      <c r="F182" s="339">
        <f t="shared" si="57"/>
        <v>6.043807770554268E-4</v>
      </c>
      <c r="G182" s="338">
        <f t="shared" si="58"/>
        <v>1</v>
      </c>
      <c r="H182" s="339">
        <f t="shared" si="59"/>
        <v>0</v>
      </c>
      <c r="I182" s="337">
        <f t="shared" si="60"/>
        <v>111104.897510576</v>
      </c>
      <c r="J182" s="340">
        <f t="shared" si="61"/>
        <v>1.5707873262915668</v>
      </c>
      <c r="K182" s="348">
        <f t="shared" si="82"/>
        <v>1.9674179280706992</v>
      </c>
      <c r="L182" s="349">
        <f t="shared" si="83"/>
        <v>1.0376094671001166</v>
      </c>
      <c r="M182" s="337">
        <f t="shared" si="64"/>
        <v>1.0000481405027859</v>
      </c>
      <c r="N182" s="340">
        <f t="shared" si="65"/>
        <v>9.8120916840926317E-3</v>
      </c>
      <c r="O182" s="341">
        <f t="shared" si="66"/>
        <v>1.0000243920308138</v>
      </c>
      <c r="P182" s="342">
        <f t="shared" si="67"/>
        <v>1.5451242085201697E-2</v>
      </c>
      <c r="Q182" s="343">
        <f t="shared" si="68"/>
        <v>2.2269369686480531</v>
      </c>
      <c r="R182" s="344">
        <f t="shared" si="69"/>
        <v>-42.88705950574208</v>
      </c>
      <c r="S182" s="346">
        <f t="shared" si="70"/>
        <v>137.11294049425791</v>
      </c>
      <c r="U182" s="319">
        <f t="shared" si="76"/>
        <v>1000000000</v>
      </c>
      <c r="V182" s="319">
        <f t="shared" si="77"/>
        <v>104714289</v>
      </c>
      <c r="X182" s="345">
        <f t="shared" si="71"/>
        <v>2.6700746972847038</v>
      </c>
      <c r="Y182" s="346">
        <f t="shared" si="72"/>
        <v>-31.111032538734044</v>
      </c>
      <c r="AA182" s="345">
        <f t="shared" si="73"/>
        <v>32.780491140295723</v>
      </c>
      <c r="AB182" s="346">
        <f t="shared" si="74"/>
        <v>-11.776026967008034</v>
      </c>
      <c r="AD182">
        <f t="shared" si="78"/>
        <v>0</v>
      </c>
      <c r="AE182">
        <f t="shared" si="81"/>
        <v>0</v>
      </c>
    </row>
    <row r="183" spans="1:31" x14ac:dyDescent="0.2">
      <c r="A183" s="347">
        <v>10292.5</v>
      </c>
      <c r="B183" s="364">
        <f t="shared" si="75"/>
        <v>10.2925</v>
      </c>
      <c r="C183" s="337">
        <f t="shared" si="54"/>
        <v>1.0186729972944011</v>
      </c>
      <c r="D183" s="338">
        <f t="shared" si="55"/>
        <v>0.19176540815939044</v>
      </c>
      <c r="E183" s="338">
        <f t="shared" si="56"/>
        <v>1.0000001847681705</v>
      </c>
      <c r="F183" s="339">
        <f t="shared" si="57"/>
        <v>6.0789496130259069E-4</v>
      </c>
      <c r="G183" s="338">
        <f t="shared" si="58"/>
        <v>1</v>
      </c>
      <c r="H183" s="339">
        <f t="shared" si="59"/>
        <v>0</v>
      </c>
      <c r="I183" s="337">
        <f t="shared" si="60"/>
        <v>111750.91934203748</v>
      </c>
      <c r="J183" s="340">
        <f t="shared" si="61"/>
        <v>1.5707873783226523</v>
      </c>
      <c r="K183" s="348">
        <f t="shared" si="82"/>
        <v>1.9759084597248773</v>
      </c>
      <c r="L183" s="349">
        <f t="shared" si="83"/>
        <v>1.0401437053122258</v>
      </c>
      <c r="M183" s="337">
        <f t="shared" si="64"/>
        <v>1.0000487019446715</v>
      </c>
      <c r="N183" s="340">
        <f t="shared" si="65"/>
        <v>9.8691406097434833E-3</v>
      </c>
      <c r="O183" s="341">
        <f t="shared" si="66"/>
        <v>1.0000246765611656</v>
      </c>
      <c r="P183" s="342">
        <f t="shared" si="67"/>
        <v>1.5541086457395003E-2</v>
      </c>
      <c r="Q183" s="343">
        <f t="shared" si="68"/>
        <v>2.2121564379443952</v>
      </c>
      <c r="R183" s="344">
        <f t="shared" si="69"/>
        <v>-42.812060433620346</v>
      </c>
      <c r="S183" s="346">
        <f t="shared" si="70"/>
        <v>137.18793956637967</v>
      </c>
      <c r="U183" s="319">
        <f t="shared" si="76"/>
        <v>1000000000</v>
      </c>
      <c r="V183" s="319">
        <f t="shared" si="77"/>
        <v>105935556.25</v>
      </c>
      <c r="X183" s="345">
        <f t="shared" si="71"/>
        <v>2.6571157113267407</v>
      </c>
      <c r="Y183" s="346">
        <f t="shared" si="72"/>
        <v>-30.969103028564376</v>
      </c>
      <c r="AA183" s="345">
        <f t="shared" si="73"/>
        <v>32.778669595550035</v>
      </c>
      <c r="AB183" s="346">
        <f t="shared" si="74"/>
        <v>-11.842957405055969</v>
      </c>
      <c r="AD183">
        <f t="shared" si="78"/>
        <v>0</v>
      </c>
      <c r="AE183">
        <f t="shared" si="81"/>
        <v>0</v>
      </c>
    </row>
    <row r="184" spans="1:31" x14ac:dyDescent="0.2">
      <c r="A184" s="347">
        <v>10352</v>
      </c>
      <c r="B184" s="364">
        <f t="shared" si="75"/>
        <v>10.352</v>
      </c>
      <c r="C184" s="337">
        <f t="shared" si="54"/>
        <v>1.0188875080523279</v>
      </c>
      <c r="D184" s="338">
        <f t="shared" si="55"/>
        <v>0.19284678022591312</v>
      </c>
      <c r="E184" s="338">
        <f t="shared" si="56"/>
        <v>1.0000001869106008</v>
      </c>
      <c r="F184" s="339">
        <f t="shared" si="57"/>
        <v>6.1140914553474001E-4</v>
      </c>
      <c r="G184" s="338">
        <f t="shared" si="58"/>
        <v>1</v>
      </c>
      <c r="H184" s="339">
        <f t="shared" si="59"/>
        <v>0</v>
      </c>
      <c r="I184" s="337">
        <f t="shared" si="60"/>
        <v>112396.94117349925</v>
      </c>
      <c r="J184" s="340">
        <f t="shared" si="61"/>
        <v>1.5707874297556217</v>
      </c>
      <c r="K184" s="348">
        <f t="shared" si="82"/>
        <v>1.9844115727425093</v>
      </c>
      <c r="L184" s="349">
        <f t="shared" si="83"/>
        <v>1.0426562413556437</v>
      </c>
      <c r="M184" s="337">
        <f t="shared" si="64"/>
        <v>1.0000492666412919</v>
      </c>
      <c r="N184" s="340">
        <f t="shared" si="65"/>
        <v>9.9261894711525061E-3</v>
      </c>
      <c r="O184" s="341">
        <f t="shared" si="66"/>
        <v>1.0000249627422855</v>
      </c>
      <c r="P184" s="342">
        <f t="shared" si="67"/>
        <v>1.5630930878116175E-2</v>
      </c>
      <c r="Q184" s="343">
        <f t="shared" si="68"/>
        <v>2.1975510522669688</v>
      </c>
      <c r="R184" s="344">
        <f t="shared" si="69"/>
        <v>-42.738278741940803</v>
      </c>
      <c r="S184" s="346">
        <f t="shared" si="70"/>
        <v>137.2617212580592</v>
      </c>
      <c r="U184" s="319">
        <f t="shared" si="76"/>
        <v>1000000000</v>
      </c>
      <c r="V184" s="319">
        <f t="shared" si="77"/>
        <v>107163904</v>
      </c>
      <c r="X184" s="345">
        <f t="shared" si="71"/>
        <v>2.6443416628495409</v>
      </c>
      <c r="Y184" s="346">
        <f t="shared" si="72"/>
        <v>-30.828416923118105</v>
      </c>
      <c r="AA184" s="345">
        <f t="shared" si="73"/>
        <v>32.776838258349805</v>
      </c>
      <c r="AB184" s="346">
        <f t="shared" si="74"/>
        <v>-11.909861818822698</v>
      </c>
      <c r="AD184">
        <f t="shared" si="78"/>
        <v>0</v>
      </c>
      <c r="AE184">
        <f t="shared" si="81"/>
        <v>0</v>
      </c>
    </row>
    <row r="185" spans="1:31" x14ac:dyDescent="0.2">
      <c r="A185" s="347">
        <v>10411.5</v>
      </c>
      <c r="B185" s="364">
        <f t="shared" si="75"/>
        <v>10.4115</v>
      </c>
      <c r="C185" s="337">
        <f t="shared" si="54"/>
        <v>1.0191032097598127</v>
      </c>
      <c r="D185" s="338">
        <f t="shared" si="55"/>
        <v>0.19392769579311406</v>
      </c>
      <c r="E185" s="338">
        <f t="shared" si="56"/>
        <v>1.0000001890653807</v>
      </c>
      <c r="F185" s="339">
        <f t="shared" si="57"/>
        <v>6.1492332975178823E-4</v>
      </c>
      <c r="G185" s="338">
        <f t="shared" si="58"/>
        <v>1</v>
      </c>
      <c r="H185" s="339">
        <f t="shared" si="59"/>
        <v>0</v>
      </c>
      <c r="I185" s="337">
        <f t="shared" si="60"/>
        <v>113042.96300496132</v>
      </c>
      <c r="J185" s="340">
        <f t="shared" si="61"/>
        <v>1.5707874806007291</v>
      </c>
      <c r="K185" s="348">
        <f t="shared" si="82"/>
        <v>1.9929271060829574</v>
      </c>
      <c r="L185" s="349">
        <f t="shared" si="83"/>
        <v>1.0451473214957903</v>
      </c>
      <c r="M185" s="337">
        <f t="shared" si="64"/>
        <v>1.0000498345926414</v>
      </c>
      <c r="N185" s="340">
        <f t="shared" si="65"/>
        <v>9.9832382679484709E-3</v>
      </c>
      <c r="O185" s="341">
        <f t="shared" si="66"/>
        <v>1.0000252505741936</v>
      </c>
      <c r="P185" s="342">
        <f t="shared" si="67"/>
        <v>1.5720775347645471E-2</v>
      </c>
      <c r="Q185" s="343">
        <f t="shared" si="68"/>
        <v>2.183117459712351</v>
      </c>
      <c r="R185" s="344">
        <f t="shared" si="69"/>
        <v>-42.665700192894541</v>
      </c>
      <c r="S185" s="346">
        <f t="shared" si="70"/>
        <v>137.33429980710545</v>
      </c>
      <c r="U185" s="319">
        <f t="shared" si="76"/>
        <v>1000000000</v>
      </c>
      <c r="V185" s="319">
        <f t="shared" si="77"/>
        <v>108399332.25</v>
      </c>
      <c r="X185" s="345">
        <f t="shared" si="71"/>
        <v>2.6317491872803234</v>
      </c>
      <c r="Y185" s="346">
        <f t="shared" si="72"/>
        <v>-30.688960112992284</v>
      </c>
      <c r="AA185" s="345">
        <f t="shared" si="73"/>
        <v>32.774997141364409</v>
      </c>
      <c r="AB185" s="346">
        <f t="shared" si="74"/>
        <v>-11.976740079902271</v>
      </c>
      <c r="AD185">
        <f t="shared" si="78"/>
        <v>0</v>
      </c>
      <c r="AE185">
        <f t="shared" si="81"/>
        <v>0</v>
      </c>
    </row>
    <row r="186" spans="1:31" x14ac:dyDescent="0.2">
      <c r="A186" s="347">
        <v>10471</v>
      </c>
      <c r="B186" s="364">
        <f t="shared" si="75"/>
        <v>10.471</v>
      </c>
      <c r="C186" s="337">
        <f t="shared" si="54"/>
        <v>1.0193201016607933</v>
      </c>
      <c r="D186" s="338">
        <f t="shared" si="55"/>
        <v>0.19500815262576549</v>
      </c>
      <c r="E186" s="338">
        <f t="shared" si="56"/>
        <v>1.0000001912325098</v>
      </c>
      <c r="F186" s="339">
        <f t="shared" si="57"/>
        <v>6.1843751395364863E-4</v>
      </c>
      <c r="G186" s="338">
        <f t="shared" si="58"/>
        <v>1</v>
      </c>
      <c r="H186" s="339">
        <f t="shared" si="59"/>
        <v>0</v>
      </c>
      <c r="I186" s="337">
        <f t="shared" si="60"/>
        <v>113688.98483642368</v>
      </c>
      <c r="J186" s="340">
        <f t="shared" si="61"/>
        <v>1.5707875308679962</v>
      </c>
      <c r="K186" s="348">
        <f t="shared" si="82"/>
        <v>2.0014549012130431</v>
      </c>
      <c r="L186" s="349">
        <f t="shared" si="83"/>
        <v>1.0476171888752839</v>
      </c>
      <c r="M186" s="337">
        <f t="shared" si="64"/>
        <v>1.0000504057987147</v>
      </c>
      <c r="N186" s="340">
        <f t="shared" si="65"/>
        <v>1.0040286999760152E-2</v>
      </c>
      <c r="O186" s="341">
        <f t="shared" si="66"/>
        <v>1.0000255400569098</v>
      </c>
      <c r="P186" s="342">
        <f t="shared" si="67"/>
        <v>1.5810619866263139E-2</v>
      </c>
      <c r="Q186" s="343">
        <f t="shared" si="68"/>
        <v>2.1688523816422163</v>
      </c>
      <c r="R186" s="344">
        <f t="shared" si="69"/>
        <v>-42.594310727935557</v>
      </c>
      <c r="S186" s="346">
        <f t="shared" si="70"/>
        <v>137.40568927206445</v>
      </c>
      <c r="U186" s="319">
        <f t="shared" si="76"/>
        <v>1000000000</v>
      </c>
      <c r="V186" s="319">
        <f t="shared" si="77"/>
        <v>109641841</v>
      </c>
      <c r="X186" s="345">
        <f t="shared" si="71"/>
        <v>2.6193349932564001</v>
      </c>
      <c r="Y186" s="346">
        <f t="shared" si="72"/>
        <v>-30.550718667693928</v>
      </c>
      <c r="AA186" s="345">
        <f t="shared" si="73"/>
        <v>32.773146257318196</v>
      </c>
      <c r="AB186" s="346">
        <f t="shared" si="74"/>
        <v>-12.04359206024164</v>
      </c>
      <c r="AD186">
        <f t="shared" si="78"/>
        <v>0</v>
      </c>
      <c r="AE186">
        <f t="shared" si="81"/>
        <v>0</v>
      </c>
    </row>
    <row r="187" spans="1:31" x14ac:dyDescent="0.2">
      <c r="A187" s="347">
        <v>10532</v>
      </c>
      <c r="B187" s="364">
        <f t="shared" si="75"/>
        <v>10.532</v>
      </c>
      <c r="C187" s="337">
        <f t="shared" si="54"/>
        <v>1.0195436962086455</v>
      </c>
      <c r="D187" s="338">
        <f t="shared" si="55"/>
        <v>0.19611536930508272</v>
      </c>
      <c r="E187" s="338">
        <f t="shared" si="56"/>
        <v>1.000000193467093</v>
      </c>
      <c r="F187" s="339">
        <f t="shared" si="57"/>
        <v>6.2204029101868932E-4</v>
      </c>
      <c r="G187" s="338">
        <f t="shared" si="58"/>
        <v>1</v>
      </c>
      <c r="H187" s="339">
        <f t="shared" si="59"/>
        <v>0</v>
      </c>
      <c r="I187" s="337">
        <f t="shared" si="60"/>
        <v>114351.29293254504</v>
      </c>
      <c r="J187" s="340">
        <f t="shared" si="61"/>
        <v>1.5707875818128822</v>
      </c>
      <c r="K187" s="348">
        <f t="shared" si="82"/>
        <v>2.0102102487762656</v>
      </c>
      <c r="L187" s="349">
        <f t="shared" si="83"/>
        <v>1.050127551436794</v>
      </c>
      <c r="M187" s="337">
        <f t="shared" si="64"/>
        <v>1.0000509947837712</v>
      </c>
      <c r="N187" s="340">
        <f t="shared" si="65"/>
        <v>1.0098773867043873E-2</v>
      </c>
      <c r="O187" s="341">
        <f t="shared" si="66"/>
        <v>1.0000258385512895</v>
      </c>
      <c r="P187" s="342">
        <f t="shared" si="67"/>
        <v>1.5902729423998754E-2</v>
      </c>
      <c r="Q187" s="343">
        <f t="shared" si="68"/>
        <v>2.1543992631618099</v>
      </c>
      <c r="R187" s="344">
        <f t="shared" si="69"/>
        <v>-42.522341425332499</v>
      </c>
      <c r="S187" s="346">
        <f t="shared" si="70"/>
        <v>137.47765857466749</v>
      </c>
      <c r="U187" s="319">
        <f t="shared" si="76"/>
        <v>1000000000</v>
      </c>
      <c r="V187" s="319">
        <f t="shared" si="77"/>
        <v>110923024</v>
      </c>
      <c r="X187" s="345">
        <f t="shared" si="71"/>
        <v>2.6067895458934616</v>
      </c>
      <c r="Y187" s="346">
        <f t="shared" si="72"/>
        <v>-30.410239457290484</v>
      </c>
      <c r="AA187" s="345">
        <f t="shared" si="73"/>
        <v>32.771238586200731</v>
      </c>
      <c r="AB187" s="346">
        <f t="shared" si="74"/>
        <v>-12.112101968042005</v>
      </c>
      <c r="AD187">
        <f t="shared" si="78"/>
        <v>0</v>
      </c>
      <c r="AE187">
        <f t="shared" si="81"/>
        <v>0</v>
      </c>
    </row>
    <row r="188" spans="1:31" x14ac:dyDescent="0.2">
      <c r="A188" s="347">
        <v>10593</v>
      </c>
      <c r="B188" s="364">
        <f t="shared" si="75"/>
        <v>10.593</v>
      </c>
      <c r="C188" s="337">
        <f t="shared" si="54"/>
        <v>1.0197685400954573</v>
      </c>
      <c r="D188" s="338">
        <f t="shared" si="55"/>
        <v>0.19722209909085714</v>
      </c>
      <c r="E188" s="338">
        <f t="shared" si="56"/>
        <v>1.0000001957146563</v>
      </c>
      <c r="F188" s="339">
        <f t="shared" si="57"/>
        <v>6.2564306806758201E-4</v>
      </c>
      <c r="G188" s="338">
        <f t="shared" si="58"/>
        <v>1</v>
      </c>
      <c r="H188" s="339">
        <f t="shared" si="59"/>
        <v>0</v>
      </c>
      <c r="I188" s="337">
        <f t="shared" si="60"/>
        <v>115013.60102866672</v>
      </c>
      <c r="J188" s="340">
        <f t="shared" si="61"/>
        <v>1.5707876321710341</v>
      </c>
      <c r="K188" s="348">
        <f t="shared" si="82"/>
        <v>2.0189781546059282</v>
      </c>
      <c r="L188" s="349">
        <f t="shared" si="83"/>
        <v>1.0526161258425579</v>
      </c>
      <c r="M188" s="337">
        <f t="shared" si="64"/>
        <v>1.0000515871897115</v>
      </c>
      <c r="N188" s="340">
        <f t="shared" si="65"/>
        <v>1.01572606652353E-2</v>
      </c>
      <c r="O188" s="341">
        <f t="shared" si="66"/>
        <v>1.0000261387808038</v>
      </c>
      <c r="P188" s="342">
        <f t="shared" si="67"/>
        <v>1.5994839033925522E-2</v>
      </c>
      <c r="Q188" s="343">
        <f t="shared" si="68"/>
        <v>2.1401165121911911</v>
      </c>
      <c r="R188" s="344">
        <f t="shared" si="69"/>
        <v>-42.451592560568528</v>
      </c>
      <c r="S188" s="346">
        <f t="shared" si="70"/>
        <v>137.54840743943146</v>
      </c>
      <c r="U188" s="319">
        <f t="shared" si="76"/>
        <v>1000000000</v>
      </c>
      <c r="V188" s="319">
        <f t="shared" si="77"/>
        <v>112211649</v>
      </c>
      <c r="X188" s="345">
        <f t="shared" si="71"/>
        <v>2.5944247045040236</v>
      </c>
      <c r="Y188" s="346">
        <f t="shared" si="72"/>
        <v>-30.271008578680011</v>
      </c>
      <c r="AA188" s="345">
        <f t="shared" si="73"/>
        <v>32.769320676619543</v>
      </c>
      <c r="AB188" s="346">
        <f t="shared" si="74"/>
        <v>-12.180583981888519</v>
      </c>
      <c r="AD188">
        <f t="shared" si="78"/>
        <v>0</v>
      </c>
      <c r="AE188">
        <f t="shared" si="81"/>
        <v>0</v>
      </c>
    </row>
    <row r="189" spans="1:31" x14ac:dyDescent="0.2">
      <c r="A189" s="347">
        <v>10654</v>
      </c>
      <c r="B189" s="364">
        <f t="shared" si="75"/>
        <v>10.654</v>
      </c>
      <c r="C189" s="337">
        <f t="shared" si="54"/>
        <v>1.0199946324950298</v>
      </c>
      <c r="D189" s="338">
        <f t="shared" si="55"/>
        <v>0.19832833959481838</v>
      </c>
      <c r="E189" s="338">
        <f t="shared" si="56"/>
        <v>1.0000001979751993</v>
      </c>
      <c r="F189" s="339">
        <f t="shared" si="57"/>
        <v>6.2924584510023281E-4</v>
      </c>
      <c r="G189" s="338">
        <f t="shared" si="58"/>
        <v>1</v>
      </c>
      <c r="H189" s="339">
        <f t="shared" si="59"/>
        <v>0</v>
      </c>
      <c r="I189" s="337">
        <f t="shared" si="60"/>
        <v>115675.90912478867</v>
      </c>
      <c r="J189" s="340">
        <f t="shared" si="61"/>
        <v>1.5707876819525299</v>
      </c>
      <c r="K189" s="348">
        <f t="shared" si="82"/>
        <v>2.0277584557984683</v>
      </c>
      <c r="L189" s="349">
        <f t="shared" si="83"/>
        <v>1.0550831640995164</v>
      </c>
      <c r="M189" s="337">
        <f t="shared" si="64"/>
        <v>1.0000521830165299</v>
      </c>
      <c r="N189" s="340">
        <f t="shared" si="65"/>
        <v>1.0215747393934422E-2</v>
      </c>
      <c r="O189" s="341">
        <f t="shared" si="66"/>
        <v>1.0000264407454751</v>
      </c>
      <c r="P189" s="342">
        <f t="shared" si="67"/>
        <v>1.6086948696345395E-2</v>
      </c>
      <c r="Q189" s="343">
        <f t="shared" si="68"/>
        <v>2.1260008237525407</v>
      </c>
      <c r="R189" s="344">
        <f t="shared" si="69"/>
        <v>-42.382049558443555</v>
      </c>
      <c r="S189" s="346">
        <f t="shared" si="70"/>
        <v>137.61795044155645</v>
      </c>
      <c r="U189" s="319">
        <f t="shared" si="76"/>
        <v>1000000000</v>
      </c>
      <c r="V189" s="319">
        <f t="shared" si="77"/>
        <v>113507716</v>
      </c>
      <c r="X189" s="345">
        <f t="shared" si="71"/>
        <v>2.5822371502208568</v>
      </c>
      <c r="Y189" s="346">
        <f t="shared" si="72"/>
        <v>-30.133011593482884</v>
      </c>
      <c r="AA189" s="345">
        <f t="shared" si="73"/>
        <v>32.767392542464066</v>
      </c>
      <c r="AB189" s="346">
        <f t="shared" si="74"/>
        <v>-12.24903796496068</v>
      </c>
      <c r="AD189">
        <f t="shared" si="78"/>
        <v>0</v>
      </c>
      <c r="AE189">
        <f t="shared" si="81"/>
        <v>0</v>
      </c>
    </row>
    <row r="190" spans="1:31" x14ac:dyDescent="0.2">
      <c r="A190" s="347">
        <v>10715</v>
      </c>
      <c r="B190" s="364">
        <f t="shared" si="75"/>
        <v>10.715</v>
      </c>
      <c r="C190" s="337">
        <f t="shared" si="54"/>
        <v>1.0202219725773107</v>
      </c>
      <c r="D190" s="338">
        <f t="shared" si="55"/>
        <v>0.19943408843559729</v>
      </c>
      <c r="E190" s="338">
        <f t="shared" si="56"/>
        <v>1.0000002002487227</v>
      </c>
      <c r="F190" s="339">
        <f t="shared" si="57"/>
        <v>6.3284862211654847E-4</v>
      </c>
      <c r="G190" s="338">
        <f t="shared" si="58"/>
        <v>1</v>
      </c>
      <c r="H190" s="339">
        <f t="shared" si="59"/>
        <v>0</v>
      </c>
      <c r="I190" s="337">
        <f t="shared" si="60"/>
        <v>116338.21722091088</v>
      </c>
      <c r="J190" s="340">
        <f t="shared" si="61"/>
        <v>1.570787731167218</v>
      </c>
      <c r="K190" s="348">
        <f t="shared" si="82"/>
        <v>2.0365509920313363</v>
      </c>
      <c r="L190" s="349">
        <f t="shared" si="83"/>
        <v>1.0575289149204132</v>
      </c>
      <c r="M190" s="337">
        <f t="shared" si="64"/>
        <v>1.0000527822642202</v>
      </c>
      <c r="N190" s="340">
        <f t="shared" si="65"/>
        <v>1.0274234052741237E-2</v>
      </c>
      <c r="O190" s="341">
        <f t="shared" si="66"/>
        <v>1.0000267444453257</v>
      </c>
      <c r="P190" s="342">
        <f t="shared" si="67"/>
        <v>1.6179058411560348E-2</v>
      </c>
      <c r="Q190" s="343">
        <f t="shared" si="68"/>
        <v>2.1120489659467117</v>
      </c>
      <c r="R190" s="344">
        <f t="shared" si="69"/>
        <v>-42.313698032883316</v>
      </c>
      <c r="S190" s="346">
        <f t="shared" si="70"/>
        <v>137.68630196711669</v>
      </c>
      <c r="U190" s="319">
        <f t="shared" si="76"/>
        <v>1000000000</v>
      </c>
      <c r="V190" s="319">
        <f t="shared" si="77"/>
        <v>114811225</v>
      </c>
      <c r="X190" s="345">
        <f t="shared" si="71"/>
        <v>2.5702236371958547</v>
      </c>
      <c r="Y190" s="346">
        <f t="shared" si="72"/>
        <v>-29.996234252049923</v>
      </c>
      <c r="AA190" s="345">
        <f t="shared" si="73"/>
        <v>32.765454197683241</v>
      </c>
      <c r="AB190" s="346">
        <f t="shared" si="74"/>
        <v>-12.317463780833391</v>
      </c>
      <c r="AD190">
        <f t="shared" si="78"/>
        <v>0</v>
      </c>
      <c r="AE190">
        <f t="shared" si="81"/>
        <v>0</v>
      </c>
    </row>
    <row r="191" spans="1:31" x14ac:dyDescent="0.2">
      <c r="A191" s="347">
        <v>10777.5</v>
      </c>
      <c r="B191" s="364">
        <f t="shared" si="75"/>
        <v>10.7775</v>
      </c>
      <c r="C191" s="337">
        <f t="shared" si="54"/>
        <v>1.0204561961984817</v>
      </c>
      <c r="D191" s="338">
        <f t="shared" si="55"/>
        <v>0.20056651539180778</v>
      </c>
      <c r="E191" s="338">
        <f t="shared" si="56"/>
        <v>1.000000202591615</v>
      </c>
      <c r="F191" s="339">
        <f t="shared" si="57"/>
        <v>6.3653999199327397E-4</v>
      </c>
      <c r="G191" s="338">
        <f t="shared" si="58"/>
        <v>1</v>
      </c>
      <c r="H191" s="339">
        <f t="shared" si="59"/>
        <v>0</v>
      </c>
      <c r="I191" s="337">
        <f t="shared" si="60"/>
        <v>117016.81158169216</v>
      </c>
      <c r="J191" s="340">
        <f t="shared" si="61"/>
        <v>1.5707877810142818</v>
      </c>
      <c r="K191" s="348">
        <f t="shared" si="82"/>
        <v>2.0455722632231121</v>
      </c>
      <c r="L191" s="349">
        <f t="shared" si="83"/>
        <v>1.0600129847424467</v>
      </c>
      <c r="M191" s="337">
        <f t="shared" si="64"/>
        <v>1.0000533997955887</v>
      </c>
      <c r="N191" s="340">
        <f t="shared" si="65"/>
        <v>1.0334158835166371E-2</v>
      </c>
      <c r="O191" s="341">
        <f t="shared" si="66"/>
        <v>1.0000270574129348</v>
      </c>
      <c r="P191" s="342">
        <f t="shared" si="67"/>
        <v>1.627343317484654E-2</v>
      </c>
      <c r="Q191" s="343">
        <f t="shared" si="68"/>
        <v>2.0979206481379578</v>
      </c>
      <c r="R191" s="344">
        <f t="shared" si="69"/>
        <v>-42.244886670045936</v>
      </c>
      <c r="S191" s="346">
        <f t="shared" si="70"/>
        <v>137.75511332995407</v>
      </c>
      <c r="U191" s="319">
        <f t="shared" si="76"/>
        <v>1000000000</v>
      </c>
      <c r="V191" s="319">
        <f t="shared" si="77"/>
        <v>116154506.25</v>
      </c>
      <c r="X191" s="345">
        <f t="shared" si="71"/>
        <v>2.5580919040691281</v>
      </c>
      <c r="Y191" s="346">
        <f t="shared" si="72"/>
        <v>-29.857343828220465</v>
      </c>
      <c r="AA191" s="345">
        <f t="shared" si="73"/>
        <v>32.763457613001208</v>
      </c>
      <c r="AB191" s="346">
        <f t="shared" si="74"/>
        <v>-12.387542841825461</v>
      </c>
      <c r="AD191">
        <f t="shared" si="78"/>
        <v>0</v>
      </c>
      <c r="AE191">
        <f t="shared" si="81"/>
        <v>0</v>
      </c>
    </row>
    <row r="192" spans="1:31" x14ac:dyDescent="0.2">
      <c r="A192" s="347">
        <v>10840</v>
      </c>
      <c r="B192" s="364">
        <f t="shared" si="75"/>
        <v>10.84</v>
      </c>
      <c r="C192" s="337">
        <f t="shared" si="54"/>
        <v>1.0206917278417291</v>
      </c>
      <c r="D192" s="338">
        <f t="shared" si="55"/>
        <v>0.20169842116837414</v>
      </c>
      <c r="E192" s="338">
        <f t="shared" si="56"/>
        <v>1.0000002049481334</v>
      </c>
      <c r="F192" s="339">
        <f t="shared" si="57"/>
        <v>6.4023136185265234E-4</v>
      </c>
      <c r="G192" s="338">
        <f t="shared" si="58"/>
        <v>1</v>
      </c>
      <c r="H192" s="339">
        <f t="shared" si="59"/>
        <v>0</v>
      </c>
      <c r="I192" s="337">
        <f t="shared" si="60"/>
        <v>117695.40594247372</v>
      </c>
      <c r="J192" s="340">
        <f t="shared" si="61"/>
        <v>1.570787830286541</v>
      </c>
      <c r="K192" s="348">
        <f t="shared" si="82"/>
        <v>2.054606045939936</v>
      </c>
      <c r="L192" s="349">
        <f t="shared" si="83"/>
        <v>1.0624752255108392</v>
      </c>
      <c r="M192" s="337">
        <f t="shared" si="64"/>
        <v>1.0000540209181241</v>
      </c>
      <c r="N192" s="340">
        <f t="shared" si="65"/>
        <v>1.039408354336945E-2</v>
      </c>
      <c r="O192" s="341">
        <f t="shared" si="66"/>
        <v>1.0000273722021567</v>
      </c>
      <c r="P192" s="342">
        <f t="shared" si="67"/>
        <v>1.6367807994197989E-2</v>
      </c>
      <c r="Q192" s="343">
        <f t="shared" si="68"/>
        <v>2.0839576755070479</v>
      </c>
      <c r="R192" s="344">
        <f t="shared" si="69"/>
        <v>-42.177296124487142</v>
      </c>
      <c r="S192" s="346">
        <f t="shared" si="70"/>
        <v>137.82270387551284</v>
      </c>
      <c r="U192" s="319">
        <f t="shared" si="76"/>
        <v>1000000000</v>
      </c>
      <c r="V192" s="319">
        <f t="shared" si="77"/>
        <v>117505600</v>
      </c>
      <c r="X192" s="345">
        <f t="shared" si="71"/>
        <v>2.5461362052445198</v>
      </c>
      <c r="Y192" s="346">
        <f t="shared" si="72"/>
        <v>-29.719704079850327</v>
      </c>
      <c r="AA192" s="345">
        <f t="shared" si="73"/>
        <v>32.761450339194909</v>
      </c>
      <c r="AB192" s="346">
        <f t="shared" si="74"/>
        <v>-12.457592044636819</v>
      </c>
      <c r="AD192">
        <f t="shared" si="78"/>
        <v>0</v>
      </c>
      <c r="AE192">
        <f t="shared" si="81"/>
        <v>0</v>
      </c>
    </row>
    <row r="193" spans="1:31" x14ac:dyDescent="0.2">
      <c r="A193" s="347">
        <v>10902.5</v>
      </c>
      <c r="B193" s="364">
        <f t="shared" si="75"/>
        <v>10.9025</v>
      </c>
      <c r="C193" s="337">
        <f t="shared" si="54"/>
        <v>1.0209285666017585</v>
      </c>
      <c r="D193" s="338">
        <f t="shared" si="55"/>
        <v>0.20282980322659835</v>
      </c>
      <c r="E193" s="338">
        <f t="shared" si="56"/>
        <v>1.0000002073182781</v>
      </c>
      <c r="F193" s="339">
        <f t="shared" si="57"/>
        <v>6.4392273169458275E-4</v>
      </c>
      <c r="G193" s="338">
        <f t="shared" si="58"/>
        <v>1</v>
      </c>
      <c r="H193" s="339">
        <f t="shared" si="59"/>
        <v>0</v>
      </c>
      <c r="I193" s="337">
        <f t="shared" si="60"/>
        <v>118374.00030325554</v>
      </c>
      <c r="J193" s="340">
        <f t="shared" si="61"/>
        <v>1.5707878789938807</v>
      </c>
      <c r="K193" s="348">
        <f t="shared" si="82"/>
        <v>2.0636521758715696</v>
      </c>
      <c r="L193" s="349">
        <f t="shared" si="83"/>
        <v>1.0649158942394676</v>
      </c>
      <c r="M193" s="337">
        <f t="shared" si="64"/>
        <v>1.0000546456318198</v>
      </c>
      <c r="N193" s="340">
        <f t="shared" si="65"/>
        <v>1.0454008176920236E-2</v>
      </c>
      <c r="O193" s="341">
        <f t="shared" si="66"/>
        <v>1.0000276888130157</v>
      </c>
      <c r="P193" s="342">
        <f t="shared" si="67"/>
        <v>1.646218286993946E-2</v>
      </c>
      <c r="Q193" s="343">
        <f t="shared" si="68"/>
        <v>2.0701567985575946</v>
      </c>
      <c r="R193" s="344">
        <f t="shared" si="69"/>
        <v>-42.110911525500207</v>
      </c>
      <c r="S193" s="346">
        <f t="shared" si="70"/>
        <v>137.8890884744998</v>
      </c>
      <c r="U193" s="319">
        <f t="shared" si="76"/>
        <v>1000000000</v>
      </c>
      <c r="V193" s="319">
        <f t="shared" si="77"/>
        <v>118864506.25</v>
      </c>
      <c r="X193" s="345">
        <f t="shared" si="71"/>
        <v>2.5343532760298304</v>
      </c>
      <c r="Y193" s="346">
        <f t="shared" si="72"/>
        <v>-29.583300281670823</v>
      </c>
      <c r="AA193" s="345">
        <f t="shared" si="73"/>
        <v>32.759432391460145</v>
      </c>
      <c r="AB193" s="346">
        <f t="shared" si="74"/>
        <v>-12.527611243829393</v>
      </c>
      <c r="AD193">
        <f t="shared" si="78"/>
        <v>0</v>
      </c>
      <c r="AE193">
        <f t="shared" si="81"/>
        <v>0</v>
      </c>
    </row>
    <row r="194" spans="1:31" x14ac:dyDescent="0.2">
      <c r="A194" s="347">
        <v>10965</v>
      </c>
      <c r="B194" s="364">
        <f t="shared" si="75"/>
        <v>10.965</v>
      </c>
      <c r="C194" s="337">
        <f t="shared" si="54"/>
        <v>1.0211667115690919</v>
      </c>
      <c r="D194" s="338">
        <f t="shared" si="55"/>
        <v>0.20396065903549412</v>
      </c>
      <c r="E194" s="338">
        <f t="shared" si="56"/>
        <v>1.0000002097020488</v>
      </c>
      <c r="F194" s="339">
        <f t="shared" si="57"/>
        <v>6.476141015189647E-4</v>
      </c>
      <c r="G194" s="338">
        <f t="shared" si="58"/>
        <v>1</v>
      </c>
      <c r="H194" s="339">
        <f t="shared" si="59"/>
        <v>0</v>
      </c>
      <c r="I194" s="337">
        <f t="shared" si="60"/>
        <v>119052.59466403766</v>
      </c>
      <c r="J194" s="340">
        <f t="shared" si="61"/>
        <v>1.5707879271459613</v>
      </c>
      <c r="K194" s="348">
        <f t="shared" si="82"/>
        <v>2.072710491353603</v>
      </c>
      <c r="L194" s="349">
        <f t="shared" si="83"/>
        <v>1.0673352444865487</v>
      </c>
      <c r="M194" s="337">
        <f t="shared" si="64"/>
        <v>1.0000552739366688</v>
      </c>
      <c r="N194" s="340">
        <f t="shared" si="65"/>
        <v>1.0513932735388497E-2</v>
      </c>
      <c r="O194" s="341">
        <f t="shared" si="66"/>
        <v>1.0000280072455361</v>
      </c>
      <c r="P194" s="342">
        <f t="shared" si="67"/>
        <v>1.6556557802395726E-2</v>
      </c>
      <c r="Q194" s="343">
        <f t="shared" si="68"/>
        <v>2.0565148404235574</v>
      </c>
      <c r="R194" s="344">
        <f t="shared" si="69"/>
        <v>-42.045718200802035</v>
      </c>
      <c r="S194" s="346">
        <f t="shared" si="70"/>
        <v>137.95428179919796</v>
      </c>
      <c r="U194" s="319">
        <f t="shared" si="76"/>
        <v>1000000000</v>
      </c>
      <c r="V194" s="319">
        <f t="shared" si="77"/>
        <v>120231225</v>
      </c>
      <c r="X194" s="345">
        <f t="shared" si="71"/>
        <v>2.5227399242990249</v>
      </c>
      <c r="Y194" s="346">
        <f t="shared" si="72"/>
        <v>-29.44811790639508</v>
      </c>
      <c r="AA194" s="345">
        <f t="shared" si="73"/>
        <v>32.757403785056916</v>
      </c>
      <c r="AB194" s="346">
        <f t="shared" si="74"/>
        <v>-12.597600294406964</v>
      </c>
      <c r="AD194">
        <f t="shared" si="78"/>
        <v>0</v>
      </c>
      <c r="AE194">
        <f t="shared" si="81"/>
        <v>0</v>
      </c>
    </row>
    <row r="195" spans="1:31" x14ac:dyDescent="0.2">
      <c r="A195" s="347">
        <v>11028.75</v>
      </c>
      <c r="B195" s="364">
        <f t="shared" si="75"/>
        <v>11.02875</v>
      </c>
      <c r="C195" s="337">
        <f t="shared" si="54"/>
        <v>1.021410964143006</v>
      </c>
      <c r="D195" s="338">
        <f t="shared" si="55"/>
        <v>0.20511358720176956</v>
      </c>
      <c r="E195" s="338">
        <f t="shared" si="56"/>
        <v>1.0000002121475329</v>
      </c>
      <c r="F195" s="339">
        <f t="shared" si="57"/>
        <v>6.5137929872165158E-4</v>
      </c>
      <c r="G195" s="338">
        <f t="shared" si="58"/>
        <v>1</v>
      </c>
      <c r="H195" s="339">
        <f t="shared" si="59"/>
        <v>0</v>
      </c>
      <c r="I195" s="337">
        <f t="shared" si="60"/>
        <v>119744.76091203569</v>
      </c>
      <c r="J195" s="340">
        <f t="shared" si="61"/>
        <v>1.5707879756988454</v>
      </c>
      <c r="K195" s="348">
        <f t="shared" si="82"/>
        <v>2.0819623617497593</v>
      </c>
      <c r="L195" s="349">
        <f t="shared" si="83"/>
        <v>1.069781278840181</v>
      </c>
      <c r="M195" s="337">
        <f t="shared" si="64"/>
        <v>1.000055918507214</v>
      </c>
      <c r="N195" s="340">
        <f t="shared" si="65"/>
        <v>1.057505570722992E-2</v>
      </c>
      <c r="O195" s="341">
        <f t="shared" si="66"/>
        <v>1.0000283339234082</v>
      </c>
      <c r="P195" s="342">
        <f t="shared" si="67"/>
        <v>1.6652820292265499E-2</v>
      </c>
      <c r="Q195" s="343">
        <f t="shared" si="68"/>
        <v>2.0427605404182363</v>
      </c>
      <c r="R195" s="344">
        <f t="shared" si="69"/>
        <v>-41.980433248409007</v>
      </c>
      <c r="S195" s="346">
        <f t="shared" si="70"/>
        <v>138.01956675159099</v>
      </c>
      <c r="U195" s="319">
        <f t="shared" si="76"/>
        <v>1000000000</v>
      </c>
      <c r="V195" s="319">
        <f t="shared" si="77"/>
        <v>121633326.5625</v>
      </c>
      <c r="X195" s="345">
        <f t="shared" si="71"/>
        <v>2.5110657674930899</v>
      </c>
      <c r="Y195" s="346">
        <f t="shared" si="72"/>
        <v>-29.311475331424958</v>
      </c>
      <c r="AA195" s="345">
        <f t="shared" si="73"/>
        <v>32.75532364185753</v>
      </c>
      <c r="AB195" s="346">
        <f t="shared" si="74"/>
        <v>-12.668957916984054</v>
      </c>
      <c r="AD195">
        <f t="shared" si="78"/>
        <v>0</v>
      </c>
      <c r="AE195">
        <f t="shared" si="81"/>
        <v>0</v>
      </c>
    </row>
    <row r="196" spans="1:31" x14ac:dyDescent="0.2">
      <c r="A196" s="347">
        <v>11092.5</v>
      </c>
      <c r="B196" s="364">
        <f t="shared" si="75"/>
        <v>11.092499999999999</v>
      </c>
      <c r="C196" s="337">
        <f t="shared" si="54"/>
        <v>1.02165657377042</v>
      </c>
      <c r="D196" s="338">
        <f t="shared" si="55"/>
        <v>0.20626596256371324</v>
      </c>
      <c r="E196" s="338">
        <f t="shared" si="56"/>
        <v>1.0000002146071936</v>
      </c>
      <c r="F196" s="339">
        <f t="shared" si="57"/>
        <v>6.5514449590586962E-4</v>
      </c>
      <c r="G196" s="338">
        <f t="shared" si="58"/>
        <v>1</v>
      </c>
      <c r="H196" s="339">
        <f t="shared" si="59"/>
        <v>0</v>
      </c>
      <c r="I196" s="337">
        <f t="shared" si="60"/>
        <v>120436.92716003403</v>
      </c>
      <c r="J196" s="340">
        <f t="shared" si="61"/>
        <v>1.5707880236936502</v>
      </c>
      <c r="K196" s="348">
        <f t="shared" si="82"/>
        <v>2.091226578439493</v>
      </c>
      <c r="L196" s="349">
        <f t="shared" si="83"/>
        <v>1.0722056555338042</v>
      </c>
      <c r="M196" s="337">
        <f t="shared" si="64"/>
        <v>1.0000565668139811</v>
      </c>
      <c r="N196" s="340">
        <f t="shared" si="65"/>
        <v>1.0636178600051314E-2</v>
      </c>
      <c r="O196" s="341">
        <f t="shared" si="66"/>
        <v>1.0000286624965886</v>
      </c>
      <c r="P196" s="342">
        <f t="shared" si="67"/>
        <v>1.6749082841823852E-2</v>
      </c>
      <c r="Q196" s="343">
        <f t="shared" si="68"/>
        <v>2.0291651258955796</v>
      </c>
      <c r="R196" s="344">
        <f t="shared" si="69"/>
        <v>-41.916357482092749</v>
      </c>
      <c r="S196" s="346">
        <f t="shared" si="70"/>
        <v>138.08364251790726</v>
      </c>
      <c r="U196" s="319">
        <f t="shared" si="76"/>
        <v>1000000000</v>
      </c>
      <c r="V196" s="319">
        <f t="shared" si="77"/>
        <v>123043556.25</v>
      </c>
      <c r="X196" s="345">
        <f t="shared" si="71"/>
        <v>2.4995615531756319</v>
      </c>
      <c r="Y196" s="346">
        <f t="shared" si="72"/>
        <v>-29.1760736124658</v>
      </c>
      <c r="AA196" s="345">
        <f t="shared" si="73"/>
        <v>32.753232441652329</v>
      </c>
      <c r="AB196" s="346">
        <f t="shared" si="74"/>
        <v>-12.74028386962696</v>
      </c>
      <c r="AD196">
        <f t="shared" si="78"/>
        <v>0</v>
      </c>
      <c r="AE196">
        <f t="shared" si="81"/>
        <v>0</v>
      </c>
    </row>
    <row r="197" spans="1:31" x14ac:dyDescent="0.2">
      <c r="A197" s="347">
        <v>11156.25</v>
      </c>
      <c r="B197" s="364">
        <f t="shared" si="75"/>
        <v>11.15625</v>
      </c>
      <c r="C197" s="337">
        <f t="shared" si="54"/>
        <v>1.02190353947285</v>
      </c>
      <c r="D197" s="338">
        <f t="shared" si="55"/>
        <v>0.20741778246038728</v>
      </c>
      <c r="E197" s="338">
        <f t="shared" si="56"/>
        <v>1.0000002170810312</v>
      </c>
      <c r="F197" s="339">
        <f t="shared" si="57"/>
        <v>6.5890969307151202E-4</v>
      </c>
      <c r="G197" s="338">
        <f t="shared" si="58"/>
        <v>1</v>
      </c>
      <c r="H197" s="339">
        <f t="shared" si="59"/>
        <v>0</v>
      </c>
      <c r="I197" s="337">
        <f t="shared" si="60"/>
        <v>121129.0934080326</v>
      </c>
      <c r="J197" s="340">
        <f t="shared" si="61"/>
        <v>1.5707880711399431</v>
      </c>
      <c r="K197" s="348">
        <f t="shared" si="82"/>
        <v>2.1005029780637376</v>
      </c>
      <c r="L197" s="349">
        <f t="shared" si="83"/>
        <v>1.0746086328171676</v>
      </c>
      <c r="M197" s="337">
        <f t="shared" si="64"/>
        <v>1.0000572188569625</v>
      </c>
      <c r="N197" s="340">
        <f t="shared" si="65"/>
        <v>1.0697301413396115E-2</v>
      </c>
      <c r="O197" s="341">
        <f t="shared" si="66"/>
        <v>1.0000289929651043</v>
      </c>
      <c r="P197" s="342">
        <f t="shared" si="67"/>
        <v>1.684534545141542E-2</v>
      </c>
      <c r="Q197" s="343">
        <f t="shared" si="68"/>
        <v>2.0157254472569783</v>
      </c>
      <c r="R197" s="344">
        <f t="shared" si="69"/>
        <v>-41.853475953313847</v>
      </c>
      <c r="S197" s="346">
        <f t="shared" si="70"/>
        <v>138.14652404668615</v>
      </c>
      <c r="U197" s="319">
        <f t="shared" si="76"/>
        <v>1000000000</v>
      </c>
      <c r="V197" s="319">
        <f t="shared" si="77"/>
        <v>124461914.0625</v>
      </c>
      <c r="X197" s="345">
        <f t="shared" si="71"/>
        <v>2.48822411535002</v>
      </c>
      <c r="Y197" s="346">
        <f t="shared" si="72"/>
        <v>-29.041897953418914</v>
      </c>
      <c r="AA197" s="345">
        <f t="shared" si="73"/>
        <v>32.751130200839341</v>
      </c>
      <c r="AB197" s="346">
        <f t="shared" si="74"/>
        <v>-12.811577999894929</v>
      </c>
      <c r="AD197">
        <f t="shared" si="78"/>
        <v>0</v>
      </c>
      <c r="AE197">
        <f t="shared" si="81"/>
        <v>0</v>
      </c>
    </row>
    <row r="198" spans="1:31" x14ac:dyDescent="0.2">
      <c r="A198" s="347">
        <v>11220</v>
      </c>
      <c r="B198" s="364">
        <f t="shared" si="75"/>
        <v>11.22</v>
      </c>
      <c r="C198" s="337">
        <f t="shared" si="54"/>
        <v>1.0221518602673576</v>
      </c>
      <c r="D198" s="338">
        <f t="shared" si="55"/>
        <v>0.20856904423931383</v>
      </c>
      <c r="E198" s="338">
        <f t="shared" si="56"/>
        <v>1.0000002195690452</v>
      </c>
      <c r="F198" s="339">
        <f t="shared" si="57"/>
        <v>6.626748902184721E-4</v>
      </c>
      <c r="G198" s="338">
        <f t="shared" si="58"/>
        <v>1</v>
      </c>
      <c r="H198" s="339">
        <f t="shared" si="59"/>
        <v>0</v>
      </c>
      <c r="I198" s="337">
        <f t="shared" si="60"/>
        <v>121821.25965603147</v>
      </c>
      <c r="J198" s="340">
        <f t="shared" si="61"/>
        <v>1.5707881180470735</v>
      </c>
      <c r="K198" s="348">
        <f t="shared" si="82"/>
        <v>2.1097913999235289</v>
      </c>
      <c r="L198" s="349">
        <f t="shared" si="83"/>
        <v>1.076990465389716</v>
      </c>
      <c r="M198" s="337">
        <f t="shared" si="64"/>
        <v>1.0000578746361515</v>
      </c>
      <c r="N198" s="340">
        <f t="shared" si="65"/>
        <v>1.0758424146807773E-2</v>
      </c>
      <c r="O198" s="341">
        <f t="shared" si="66"/>
        <v>1.0000293253289811</v>
      </c>
      <c r="P198" s="342">
        <f t="shared" si="67"/>
        <v>1.6941608121384816E-2</v>
      </c>
      <c r="Q198" s="343">
        <f t="shared" si="68"/>
        <v>2.0024384257389003</v>
      </c>
      <c r="R198" s="344">
        <f t="shared" si="69"/>
        <v>-41.791773917422475</v>
      </c>
      <c r="S198" s="346">
        <f t="shared" si="70"/>
        <v>138.20822608257754</v>
      </c>
      <c r="U198" s="319">
        <f t="shared" si="76"/>
        <v>1000000000</v>
      </c>
      <c r="V198" s="319">
        <f t="shared" si="77"/>
        <v>125888400</v>
      </c>
      <c r="X198" s="345">
        <f t="shared" si="71"/>
        <v>2.4770503587868271</v>
      </c>
      <c r="Y198" s="346">
        <f t="shared" si="72"/>
        <v>-28.908933761590554</v>
      </c>
      <c r="AA198" s="345">
        <f t="shared" si="73"/>
        <v>32.749016935884455</v>
      </c>
      <c r="AB198" s="346">
        <f t="shared" si="74"/>
        <v>-12.882840155831923</v>
      </c>
      <c r="AD198">
        <f t="shared" si="78"/>
        <v>0</v>
      </c>
      <c r="AE198">
        <f t="shared" si="81"/>
        <v>0</v>
      </c>
    </row>
    <row r="199" spans="1:31" x14ac:dyDescent="0.2">
      <c r="A199" s="347">
        <v>11285.5</v>
      </c>
      <c r="B199" s="364">
        <f t="shared" si="75"/>
        <v>11.285500000000001</v>
      </c>
      <c r="C199" s="337">
        <f t="shared" si="54"/>
        <v>1.0224084080738376</v>
      </c>
      <c r="D199" s="338">
        <f t="shared" si="55"/>
        <v>0.20975132519441309</v>
      </c>
      <c r="E199" s="338">
        <f t="shared" si="56"/>
        <v>1.0000002221401236</v>
      </c>
      <c r="F199" s="339">
        <f t="shared" si="57"/>
        <v>6.6654344569891518E-4</v>
      </c>
      <c r="G199" s="338">
        <f t="shared" si="58"/>
        <v>1</v>
      </c>
      <c r="H199" s="339">
        <f t="shared" si="59"/>
        <v>0</v>
      </c>
      <c r="I199" s="337">
        <f t="shared" si="60"/>
        <v>122532.42654613254</v>
      </c>
      <c r="J199" s="340">
        <f t="shared" si="61"/>
        <v>1.5707881656898879</v>
      </c>
      <c r="K199" s="348">
        <f t="shared" si="82"/>
        <v>2.119347153723071</v>
      </c>
      <c r="L199" s="349">
        <f t="shared" si="83"/>
        <v>1.0794159222628288</v>
      </c>
      <c r="M199" s="337">
        <f t="shared" si="64"/>
        <v>1.0000585523085728</v>
      </c>
      <c r="N199" s="340">
        <f t="shared" si="65"/>
        <v>1.082122467544133E-2</v>
      </c>
      <c r="O199" s="341">
        <f t="shared" si="66"/>
        <v>1.0000296687907204</v>
      </c>
      <c r="P199" s="342">
        <f t="shared" si="67"/>
        <v>1.7040513359268983E-2</v>
      </c>
      <c r="Q199" s="343">
        <f t="shared" si="68"/>
        <v>1.9889424999579128</v>
      </c>
      <c r="R199" s="344">
        <f t="shared" si="69"/>
        <v>-41.729591319831684</v>
      </c>
      <c r="S199" s="346">
        <f t="shared" si="70"/>
        <v>138.27040868016832</v>
      </c>
      <c r="U199" s="319">
        <f t="shared" si="76"/>
        <v>1000000000</v>
      </c>
      <c r="V199" s="319">
        <f t="shared" si="77"/>
        <v>127362510.25</v>
      </c>
      <c r="X199" s="345">
        <f t="shared" si="71"/>
        <v>2.4657371740079421</v>
      </c>
      <c r="Y199" s="346">
        <f t="shared" si="72"/>
        <v>-28.773566254189596</v>
      </c>
      <c r="AA199" s="345">
        <f t="shared" si="73"/>
        <v>32.746834194882354</v>
      </c>
      <c r="AB199" s="346">
        <f t="shared" si="74"/>
        <v>-12.956025065642091</v>
      </c>
      <c r="AD199">
        <f t="shared" si="78"/>
        <v>0</v>
      </c>
      <c r="AE199">
        <f t="shared" si="81"/>
        <v>0</v>
      </c>
    </row>
    <row r="200" spans="1:31" x14ac:dyDescent="0.2">
      <c r="A200" s="347">
        <v>11351</v>
      </c>
      <c r="B200" s="364">
        <f t="shared" si="75"/>
        <v>11.351000000000001</v>
      </c>
      <c r="C200" s="337">
        <f t="shared" si="54"/>
        <v>1.0226663842726009</v>
      </c>
      <c r="D200" s="338">
        <f t="shared" si="55"/>
        <v>0.21093301131993261</v>
      </c>
      <c r="E200" s="338">
        <f t="shared" si="56"/>
        <v>1.0000002247261677</v>
      </c>
      <c r="F200" s="339">
        <f t="shared" si="57"/>
        <v>6.7041200115940764E-4</v>
      </c>
      <c r="G200" s="338">
        <f t="shared" si="58"/>
        <v>1</v>
      </c>
      <c r="H200" s="339">
        <f t="shared" si="59"/>
        <v>0</v>
      </c>
      <c r="I200" s="337">
        <f t="shared" si="60"/>
        <v>123243.59343623386</v>
      </c>
      <c r="J200" s="340">
        <f t="shared" si="61"/>
        <v>1.5707882127828645</v>
      </c>
      <c r="K200" s="348">
        <f t="shared" si="82"/>
        <v>2.1289152633378112</v>
      </c>
      <c r="L200" s="349">
        <f t="shared" si="83"/>
        <v>1.0818195914225026</v>
      </c>
      <c r="M200" s="337">
        <f t="shared" si="64"/>
        <v>1.0000592339251262</v>
      </c>
      <c r="N200" s="340">
        <f t="shared" si="65"/>
        <v>1.0884025118715876E-2</v>
      </c>
      <c r="O200" s="341">
        <f t="shared" si="66"/>
        <v>1.000030014253366</v>
      </c>
      <c r="P200" s="342">
        <f t="shared" si="67"/>
        <v>1.7139418661628898E-2</v>
      </c>
      <c r="Q200" s="343">
        <f t="shared" si="68"/>
        <v>1.9756013599967071</v>
      </c>
      <c r="R200" s="344">
        <f t="shared" si="69"/>
        <v>-41.668622952344371</v>
      </c>
      <c r="S200" s="346">
        <f t="shared" si="70"/>
        <v>138.33137704765562</v>
      </c>
      <c r="U200" s="319">
        <f t="shared" si="76"/>
        <v>1000000000</v>
      </c>
      <c r="V200" s="319">
        <f t="shared" si="77"/>
        <v>128845201</v>
      </c>
      <c r="X200" s="345">
        <f t="shared" si="71"/>
        <v>2.4545903772848079</v>
      </c>
      <c r="Y200" s="346">
        <f t="shared" si="72"/>
        <v>-28.639447054421264</v>
      </c>
      <c r="AA200" s="345">
        <f t="shared" si="73"/>
        <v>32.74463985164428</v>
      </c>
      <c r="AB200" s="346">
        <f t="shared" si="74"/>
        <v>-13.029175897923103</v>
      </c>
      <c r="AD200">
        <f t="shared" si="78"/>
        <v>0</v>
      </c>
      <c r="AE200">
        <f t="shared" si="81"/>
        <v>0</v>
      </c>
    </row>
    <row r="201" spans="1:31" x14ac:dyDescent="0.2">
      <c r="A201" s="347">
        <v>11416.5</v>
      </c>
      <c r="B201" s="364">
        <f t="shared" si="75"/>
        <v>11.416499999999999</v>
      </c>
      <c r="C201" s="337">
        <f t="shared" si="54"/>
        <v>1.0229257877829498</v>
      </c>
      <c r="D201" s="338">
        <f t="shared" si="55"/>
        <v>0.21211409976699341</v>
      </c>
      <c r="E201" s="338">
        <f t="shared" si="56"/>
        <v>1.0000002273271775</v>
      </c>
      <c r="F201" s="339">
        <f t="shared" si="57"/>
        <v>6.7428055659983358E-4</v>
      </c>
      <c r="G201" s="338">
        <f t="shared" si="58"/>
        <v>1</v>
      </c>
      <c r="H201" s="339">
        <f t="shared" si="59"/>
        <v>0</v>
      </c>
      <c r="I201" s="337">
        <f t="shared" si="60"/>
        <v>123954.76032633548</v>
      </c>
      <c r="J201" s="340">
        <f t="shared" si="61"/>
        <v>1.5707882593354672</v>
      </c>
      <c r="K201" s="348">
        <f t="shared" si="82"/>
        <v>2.1384955629196756</v>
      </c>
      <c r="L201" s="349">
        <f t="shared" si="83"/>
        <v>1.0842017377280282</v>
      </c>
      <c r="M201" s="337">
        <f t="shared" si="64"/>
        <v>1.0000599194858035</v>
      </c>
      <c r="N201" s="340">
        <f t="shared" si="65"/>
        <v>1.0946825476136233E-2</v>
      </c>
      <c r="O201" s="341">
        <f t="shared" si="66"/>
        <v>1.000030361716947</v>
      </c>
      <c r="P201" s="342">
        <f t="shared" si="67"/>
        <v>1.7238324028838337E-2</v>
      </c>
      <c r="Q201" s="343">
        <f t="shared" si="68"/>
        <v>1.9624118882386432</v>
      </c>
      <c r="R201" s="344">
        <f t="shared" si="69"/>
        <v>-41.608853476947523</v>
      </c>
      <c r="S201" s="346">
        <f t="shared" si="70"/>
        <v>138.39114652305247</v>
      </c>
      <c r="U201" s="319">
        <f t="shared" si="76"/>
        <v>1000000000</v>
      </c>
      <c r="V201" s="319">
        <f t="shared" si="77"/>
        <v>130336472.25</v>
      </c>
      <c r="X201" s="345">
        <f t="shared" si="71"/>
        <v>2.4436068329201333</v>
      </c>
      <c r="Y201" s="346">
        <f t="shared" si="72"/>
        <v>-28.50656098747988</v>
      </c>
      <c r="AA201" s="345">
        <f t="shared" si="73"/>
        <v>32.742433924250889</v>
      </c>
      <c r="AB201" s="346">
        <f t="shared" si="74"/>
        <v>-13.102292489467642</v>
      </c>
      <c r="AD201">
        <f t="shared" si="78"/>
        <v>0</v>
      </c>
      <c r="AE201">
        <f t="shared" si="81"/>
        <v>0</v>
      </c>
    </row>
    <row r="202" spans="1:31" x14ac:dyDescent="0.2">
      <c r="A202" s="347">
        <v>11482</v>
      </c>
      <c r="B202" s="364">
        <f t="shared" si="75"/>
        <v>11.481999999999999</v>
      </c>
      <c r="C202" s="337">
        <f t="shared" si="54"/>
        <v>1.0231866175193065</v>
      </c>
      <c r="D202" s="338">
        <f t="shared" si="55"/>
        <v>0.2132945876962675</v>
      </c>
      <c r="E202" s="338">
        <f t="shared" si="56"/>
        <v>1.0000002299431532</v>
      </c>
      <c r="F202" s="339">
        <f t="shared" si="57"/>
        <v>6.7814911202007742E-4</v>
      </c>
      <c r="G202" s="338">
        <f t="shared" si="58"/>
        <v>1</v>
      </c>
      <c r="H202" s="339">
        <f t="shared" si="59"/>
        <v>0</v>
      </c>
      <c r="I202" s="337">
        <f t="shared" si="60"/>
        <v>124665.92721643735</v>
      </c>
      <c r="J202" s="340">
        <f t="shared" si="61"/>
        <v>1.5707883053569436</v>
      </c>
      <c r="K202" s="348">
        <f t="shared" si="82"/>
        <v>2.1480878893698461</v>
      </c>
      <c r="L202" s="349">
        <f t="shared" si="83"/>
        <v>1.0865626222938771</v>
      </c>
      <c r="M202" s="337">
        <f t="shared" si="64"/>
        <v>1.0000606089905966</v>
      </c>
      <c r="N202" s="340">
        <f t="shared" si="65"/>
        <v>1.1009625747207217E-2</v>
      </c>
      <c r="O202" s="341">
        <f t="shared" si="66"/>
        <v>1.000030711181493</v>
      </c>
      <c r="P202" s="342">
        <f t="shared" si="67"/>
        <v>1.7337229461271038E-2</v>
      </c>
      <c r="Q202" s="343">
        <f t="shared" si="68"/>
        <v>1.9493710381171259</v>
      </c>
      <c r="R202" s="344">
        <f t="shared" si="69"/>
        <v>-41.550267770725327</v>
      </c>
      <c r="S202" s="346">
        <f t="shared" si="70"/>
        <v>138.44973222927467</v>
      </c>
      <c r="U202" s="319">
        <f t="shared" si="76"/>
        <v>1000000000</v>
      </c>
      <c r="V202" s="319">
        <f t="shared" si="77"/>
        <v>131836324</v>
      </c>
      <c r="X202" s="345">
        <f t="shared" si="71"/>
        <v>2.4327834761928675</v>
      </c>
      <c r="Y202" s="346">
        <f t="shared" si="72"/>
        <v>-28.374893093109716</v>
      </c>
      <c r="AA202" s="345">
        <f t="shared" si="73"/>
        <v>32.740216430856634</v>
      </c>
      <c r="AB202" s="346">
        <f t="shared" si="74"/>
        <v>-13.17537467761561</v>
      </c>
      <c r="AD202">
        <f t="shared" si="78"/>
        <v>0</v>
      </c>
      <c r="AE202">
        <f t="shared" si="81"/>
        <v>0</v>
      </c>
    </row>
    <row r="203" spans="1:31" x14ac:dyDescent="0.2">
      <c r="A203" s="347">
        <v>11548.75</v>
      </c>
      <c r="B203" s="364">
        <f t="shared" si="75"/>
        <v>11.54875</v>
      </c>
      <c r="C203" s="337">
        <f t="shared" si="54"/>
        <v>1.023453891106179</v>
      </c>
      <c r="D203" s="338">
        <f t="shared" si="55"/>
        <v>0.21449698327386518</v>
      </c>
      <c r="E203" s="338">
        <f t="shared" si="56"/>
        <v>1.0000002326244488</v>
      </c>
      <c r="F203" s="339">
        <f t="shared" si="57"/>
        <v>6.8209149481295386E-4</v>
      </c>
      <c r="G203" s="338">
        <f t="shared" si="58"/>
        <v>1</v>
      </c>
      <c r="H203" s="339">
        <f t="shared" si="59"/>
        <v>0</v>
      </c>
      <c r="I203" s="337">
        <f t="shared" si="60"/>
        <v>125390.66599375517</v>
      </c>
      <c r="J203" s="340">
        <f t="shared" si="61"/>
        <v>1.5707883517196222</v>
      </c>
      <c r="K203" s="348">
        <f t="shared" si="82"/>
        <v>2.1578754827651259</v>
      </c>
      <c r="L203" s="349">
        <f t="shared" si="83"/>
        <v>1.0889469541644776</v>
      </c>
      <c r="M203" s="337">
        <f t="shared" si="64"/>
        <v>1.0000613157116076</v>
      </c>
      <c r="N203" s="340">
        <f t="shared" si="65"/>
        <v>1.1073624407384151E-2</v>
      </c>
      <c r="O203" s="341">
        <f t="shared" si="66"/>
        <v>1.0000310693738494</v>
      </c>
      <c r="P203" s="342">
        <f t="shared" si="67"/>
        <v>1.7438022469445459E-2</v>
      </c>
      <c r="Q203" s="343">
        <f t="shared" si="68"/>
        <v>1.9362311376516144</v>
      </c>
      <c r="R203" s="344">
        <f t="shared" si="69"/>
        <v>-41.491766451002093</v>
      </c>
      <c r="S203" s="346">
        <f t="shared" si="70"/>
        <v>138.50823354899791</v>
      </c>
      <c r="U203" s="319">
        <f t="shared" si="76"/>
        <v>1000000000</v>
      </c>
      <c r="V203" s="319">
        <f t="shared" si="77"/>
        <v>133373626.5625</v>
      </c>
      <c r="X203" s="345">
        <f t="shared" si="71"/>
        <v>2.421915268020117</v>
      </c>
      <c r="Y203" s="346">
        <f t="shared" si="72"/>
        <v>-28.241950449322307</v>
      </c>
      <c r="AA203" s="345">
        <f t="shared" si="73"/>
        <v>32.737944738563876</v>
      </c>
      <c r="AB203" s="346">
        <f t="shared" si="74"/>
        <v>-13.249816001679777</v>
      </c>
      <c r="AD203">
        <f t="shared" si="78"/>
        <v>0</v>
      </c>
      <c r="AE203">
        <f t="shared" si="81"/>
        <v>0</v>
      </c>
    </row>
    <row r="204" spans="1:31" x14ac:dyDescent="0.2">
      <c r="A204" s="347">
        <v>11615.5</v>
      </c>
      <c r="B204" s="364">
        <f t="shared" si="75"/>
        <v>11.615500000000001</v>
      </c>
      <c r="C204" s="337">
        <f t="shared" si="54"/>
        <v>1.023722643582891</v>
      </c>
      <c r="D204" s="338">
        <f t="shared" si="55"/>
        <v>0.21569874927109486</v>
      </c>
      <c r="E204" s="338">
        <f t="shared" si="56"/>
        <v>1.0000002353212867</v>
      </c>
      <c r="F204" s="339">
        <f t="shared" si="57"/>
        <v>6.8603387758462764E-4</v>
      </c>
      <c r="G204" s="338">
        <f t="shared" si="58"/>
        <v>1</v>
      </c>
      <c r="H204" s="339">
        <f t="shared" si="59"/>
        <v>0</v>
      </c>
      <c r="I204" s="337">
        <f t="shared" si="60"/>
        <v>126115.40477107328</v>
      </c>
      <c r="J204" s="340">
        <f t="shared" si="61"/>
        <v>1.5707883975494423</v>
      </c>
      <c r="K204" s="348">
        <f t="shared" si="82"/>
        <v>2.167675232942484</v>
      </c>
      <c r="L204" s="349">
        <f t="shared" si="83"/>
        <v>1.0913097409188461</v>
      </c>
      <c r="M204" s="337">
        <f t="shared" si="64"/>
        <v>1.0000620265286928</v>
      </c>
      <c r="N204" s="340">
        <f t="shared" si="65"/>
        <v>1.113762297684617E-2</v>
      </c>
      <c r="O204" s="341">
        <f t="shared" si="66"/>
        <v>1.0000314296443347</v>
      </c>
      <c r="P204" s="342">
        <f t="shared" si="67"/>
        <v>1.7538815546140039E-2</v>
      </c>
      <c r="Q204" s="343">
        <f t="shared" si="68"/>
        <v>1.9232394145442369</v>
      </c>
      <c r="R204" s="344">
        <f t="shared" si="69"/>
        <v>-41.434463471410474</v>
      </c>
      <c r="S204" s="346">
        <f t="shared" si="70"/>
        <v>138.56553652858952</v>
      </c>
      <c r="U204" s="319">
        <f t="shared" si="76"/>
        <v>1000000000</v>
      </c>
      <c r="V204" s="319">
        <f t="shared" si="77"/>
        <v>134919840.25</v>
      </c>
      <c r="X204" s="345">
        <f t="shared" si="71"/>
        <v>2.4112072105694531</v>
      </c>
      <c r="Y204" s="346">
        <f t="shared" si="72"/>
        <v>-28.110242214037392</v>
      </c>
      <c r="AA204" s="345">
        <f t="shared" si="73"/>
        <v>32.735661072907163</v>
      </c>
      <c r="AB204" s="346">
        <f t="shared" si="74"/>
        <v>-13.324221257373086</v>
      </c>
      <c r="AD204">
        <f t="shared" si="78"/>
        <v>0</v>
      </c>
      <c r="AE204">
        <f t="shared" si="81"/>
        <v>0</v>
      </c>
    </row>
    <row r="205" spans="1:31" x14ac:dyDescent="0.2">
      <c r="A205" s="347">
        <v>11682.25</v>
      </c>
      <c r="B205" s="364">
        <f t="shared" si="75"/>
        <v>11.68225</v>
      </c>
      <c r="C205" s="337">
        <f t="shared" ref="C205:C268" si="84">SQRT(1+(A205/pole1)^2)</f>
        <v>1.0239928737850141</v>
      </c>
      <c r="D205" s="338">
        <f t="shared" ref="D205:D268" si="85">ATAN(A205/pole1)</f>
        <v>0.21689988271375829</v>
      </c>
      <c r="E205" s="338">
        <f t="shared" ref="E205:E268" si="86">SQRT(1+(A205/Zero1)^2)</f>
        <v>1.000000238033667</v>
      </c>
      <c r="F205" s="339">
        <f t="shared" ref="F205:F268" si="87">ATAN(A205/Zero1)</f>
        <v>6.8997626033497626E-4</v>
      </c>
      <c r="G205" s="338">
        <f t="shared" ref="G205:G268" si="88">IF(VIN_nom&gt;Vout, 1, SQRT(1+(A205/z_RHP)^2))</f>
        <v>1</v>
      </c>
      <c r="H205" s="339">
        <f t="shared" ref="H205:H268" si="89">IF(VIN_nom&gt;Vout, 0, -ATAN(A205/z_RHP))</f>
        <v>0</v>
      </c>
      <c r="I205" s="337">
        <f t="shared" ref="I205:I268" si="90">SQRT(1+(A205/Pole2)^2)</f>
        <v>126840.14354839163</v>
      </c>
      <c r="J205" s="340">
        <f t="shared" ref="J205:J268" si="91">ATAN(A205/Pole2)</f>
        <v>1.5707884428555376</v>
      </c>
      <c r="K205" s="348">
        <f t="shared" si="82"/>
        <v>2.1774869757676347</v>
      </c>
      <c r="L205" s="349">
        <f t="shared" si="83"/>
        <v>1.0936512472423856</v>
      </c>
      <c r="M205" s="337">
        <f t="shared" ref="M205:M268" si="92">SQRT(1+(A205/pole4)^2)</f>
        <v>1.0000627414418428</v>
      </c>
      <c r="N205" s="340">
        <f t="shared" ref="N205:N268" si="93">ATAN(A205/pole4)</f>
        <v>1.120162145506922E-2</v>
      </c>
      <c r="O205" s="341">
        <f t="shared" ref="O205:O268" si="94">SQRT((1-(V205/pterm2))^2+(A205/pterm1)^2)</f>
        <v>1.0000317919929804</v>
      </c>
      <c r="P205" s="342">
        <f t="shared" ref="P205:P268" si="95">IF((ATAN((A205/pterm1)/(1-A205^2/pterm2))&gt;0),ATAN((A205/pterm1)/(1-A205^2/pterm2)),PI()+ATAN((A205/pterm1)/(1-A205^2/pterm2)))</f>
        <v>1.7639608691750321E-2</v>
      </c>
      <c r="Q205" s="343">
        <f t="shared" ref="Q205:Q268" si="96">20*LOG10(((E205*K205*G205)/(C205*I205*O205*M205))*Adc)</f>
        <v>1.9103928604465195</v>
      </c>
      <c r="R205" s="344">
        <f t="shared" ref="R205:R268" si="97">((F205+L205+H205)-(D205+J205+P205+N205))*radconv</f>
        <v>-41.378343496700964</v>
      </c>
      <c r="S205" s="346">
        <f t="shared" ref="S205:S268" si="98">IF(R205&gt;0,R205,R205+180)</f>
        <v>138.62165650329905</v>
      </c>
      <c r="U205" s="319">
        <f t="shared" si="76"/>
        <v>1000000000</v>
      </c>
      <c r="V205" s="319">
        <f t="shared" si="77"/>
        <v>136474965.0625</v>
      </c>
      <c r="X205" s="345">
        <f t="shared" ref="X205:X268" si="99">20*LOG10((K205/(I205*M205))*AEA)</f>
        <v>2.400656276045054</v>
      </c>
      <c r="Y205" s="346">
        <f t="shared" ref="Y205:Y268" si="100">(L205-(J205+N205))*radconv</f>
        <v>-27.979753222391775</v>
      </c>
      <c r="AA205" s="345">
        <f t="shared" ref="AA205:AA268" si="101">20*LOG10((E205*G205/(C205*O205))*Acs*Am)</f>
        <v>32.733365453333846</v>
      </c>
      <c r="AB205" s="346">
        <f t="shared" ref="AB205:AB268" si="102">(F205+H205-(D205+P205))*radconv</f>
        <v>-13.398590274309194</v>
      </c>
      <c r="AD205">
        <f t="shared" si="78"/>
        <v>0</v>
      </c>
      <c r="AE205">
        <f t="shared" si="81"/>
        <v>0</v>
      </c>
    </row>
    <row r="206" spans="1:31" x14ac:dyDescent="0.2">
      <c r="A206" s="347">
        <v>11749</v>
      </c>
      <c r="B206" s="364">
        <f t="shared" ref="B206:B269" si="103">A206/1000</f>
        <v>11.749000000000001</v>
      </c>
      <c r="C206" s="337">
        <f t="shared" si="84"/>
        <v>1.0242645805429507</v>
      </c>
      <c r="D206" s="338">
        <f t="shared" si="85"/>
        <v>0.2181003806380882</v>
      </c>
      <c r="E206" s="338">
        <f t="shared" si="86"/>
        <v>1.0000002407615898</v>
      </c>
      <c r="F206" s="339">
        <f t="shared" si="87"/>
        <v>6.9391864306387718E-4</v>
      </c>
      <c r="G206" s="338">
        <f t="shared" si="88"/>
        <v>1</v>
      </c>
      <c r="H206" s="339">
        <f t="shared" si="89"/>
        <v>0</v>
      </c>
      <c r="I206" s="337">
        <f t="shared" si="90"/>
        <v>127564.88232571025</v>
      </c>
      <c r="J206" s="340">
        <f t="shared" si="91"/>
        <v>1.570788487646835</v>
      </c>
      <c r="K206" s="348">
        <f t="shared" si="82"/>
        <v>2.1873105498522865</v>
      </c>
      <c r="L206" s="349">
        <f t="shared" si="83"/>
        <v>1.0959717340076331</v>
      </c>
      <c r="M206" s="337">
        <f t="shared" si="92"/>
        <v>1.0000634604510492</v>
      </c>
      <c r="N206" s="340">
        <f t="shared" si="93"/>
        <v>1.1265619841529243E-2</v>
      </c>
      <c r="O206" s="341">
        <f t="shared" si="94"/>
        <v>1.0000321564198189</v>
      </c>
      <c r="P206" s="342">
        <f t="shared" si="95"/>
        <v>1.7740401906671824E-2</v>
      </c>
      <c r="Q206" s="343">
        <f t="shared" si="96"/>
        <v>1.897688535914051</v>
      </c>
      <c r="R206" s="344">
        <f t="shared" si="97"/>
        <v>-41.323391410670915</v>
      </c>
      <c r="S206" s="346">
        <f t="shared" si="98"/>
        <v>138.67660858932908</v>
      </c>
      <c r="U206" s="319">
        <f t="shared" ref="U206:U269" si="104">IF(Q206&lt;0,A206,1000000000)</f>
        <v>1000000000</v>
      </c>
      <c r="V206" s="319">
        <f t="shared" ref="V206:V269" si="105">A206^2</f>
        <v>138039001</v>
      </c>
      <c r="X206" s="345">
        <f t="shared" si="99"/>
        <v>2.3902595054776286</v>
      </c>
      <c r="Y206" s="346">
        <f t="shared" si="100"/>
        <v>-27.850468527971504</v>
      </c>
      <c r="AA206" s="345">
        <f t="shared" si="101"/>
        <v>32.7310578993688</v>
      </c>
      <c r="AB206" s="346">
        <f t="shared" si="102"/>
        <v>-13.472922882699418</v>
      </c>
      <c r="AD206">
        <f t="shared" ref="AD206:AD269" si="106">SUM((Q207&lt;0)*(Q206&gt;0))*A206</f>
        <v>0</v>
      </c>
      <c r="AE206">
        <f t="shared" si="81"/>
        <v>0</v>
      </c>
    </row>
    <row r="207" spans="1:31" x14ac:dyDescent="0.2">
      <c r="A207" s="347">
        <v>11817.5</v>
      </c>
      <c r="B207" s="364">
        <f t="shared" si="103"/>
        <v>11.817500000000001</v>
      </c>
      <c r="C207" s="337">
        <f t="shared" si="84"/>
        <v>1.0245449445970449</v>
      </c>
      <c r="D207" s="338">
        <f t="shared" si="85"/>
        <v>0.21933168846451243</v>
      </c>
      <c r="E207" s="338">
        <f t="shared" si="86"/>
        <v>1.0000002435771902</v>
      </c>
      <c r="F207" s="339">
        <f t="shared" si="87"/>
        <v>6.9796438411904855E-4</v>
      </c>
      <c r="G207" s="338">
        <f t="shared" si="88"/>
        <v>1</v>
      </c>
      <c r="H207" s="339">
        <f t="shared" si="89"/>
        <v>0</v>
      </c>
      <c r="I207" s="337">
        <f t="shared" si="90"/>
        <v>128308.62174513111</v>
      </c>
      <c r="J207" s="340">
        <f t="shared" si="91"/>
        <v>1.5707885330863647</v>
      </c>
      <c r="K207" s="348">
        <f t="shared" si="82"/>
        <v>2.1974038050090257</v>
      </c>
      <c r="L207" s="349">
        <f t="shared" si="83"/>
        <v>1.0983314737362082</v>
      </c>
      <c r="M207" s="337">
        <f t="shared" si="92"/>
        <v>1.0000642025692199</v>
      </c>
      <c r="N207" s="340">
        <f t="shared" si="93"/>
        <v>1.1331295992355623E-2</v>
      </c>
      <c r="O207" s="341">
        <f t="shared" si="94"/>
        <v>1.0000325325615862</v>
      </c>
      <c r="P207" s="342">
        <f t="shared" si="95"/>
        <v>1.7843837712812168E-2</v>
      </c>
      <c r="Q207" s="343">
        <f t="shared" si="96"/>
        <v>1.8847959990065073</v>
      </c>
      <c r="R207" s="344">
        <f t="shared" si="97"/>
        <v>-41.268197226151891</v>
      </c>
      <c r="S207" s="346">
        <f t="shared" si="98"/>
        <v>138.7318027738481</v>
      </c>
      <c r="U207" s="319">
        <f t="shared" si="104"/>
        <v>1000000000</v>
      </c>
      <c r="V207" s="319">
        <f t="shared" si="105"/>
        <v>139653306.25</v>
      </c>
      <c r="X207" s="345">
        <f t="shared" si="99"/>
        <v>2.3797474074697029</v>
      </c>
      <c r="Y207" s="346">
        <f t="shared" si="100"/>
        <v>-27.719030970374909</v>
      </c>
      <c r="AA207" s="345">
        <f t="shared" si="101"/>
        <v>32.728677460469186</v>
      </c>
      <c r="AB207" s="346">
        <f t="shared" si="102"/>
        <v>-13.549166255776985</v>
      </c>
      <c r="AD207">
        <f t="shared" si="106"/>
        <v>0</v>
      </c>
      <c r="AE207">
        <f t="shared" si="81"/>
        <v>0</v>
      </c>
    </row>
    <row r="208" spans="1:31" x14ac:dyDescent="0.2">
      <c r="A208" s="347">
        <v>11886</v>
      </c>
      <c r="B208" s="364">
        <f t="shared" si="103"/>
        <v>11.885999999999999</v>
      </c>
      <c r="C208" s="337">
        <f t="shared" si="84"/>
        <v>1.0248268611318887</v>
      </c>
      <c r="D208" s="338">
        <f t="shared" si="85"/>
        <v>0.22056232072234488</v>
      </c>
      <c r="E208" s="338">
        <f t="shared" si="86"/>
        <v>1.0000002464091584</v>
      </c>
      <c r="F208" s="339">
        <f t="shared" si="87"/>
        <v>7.0201012515137145E-4</v>
      </c>
      <c r="G208" s="338">
        <f t="shared" si="88"/>
        <v>1</v>
      </c>
      <c r="H208" s="339">
        <f t="shared" si="89"/>
        <v>0</v>
      </c>
      <c r="I208" s="337">
        <f t="shared" si="90"/>
        <v>129052.36116455223</v>
      </c>
      <c r="J208" s="340">
        <f t="shared" si="91"/>
        <v>1.5707885780021509</v>
      </c>
      <c r="K208" s="348">
        <f t="shared" si="82"/>
        <v>2.2075091841957164</v>
      </c>
      <c r="L208" s="349">
        <f t="shared" si="83"/>
        <v>1.1006696218865812</v>
      </c>
      <c r="M208" s="337">
        <f t="shared" si="92"/>
        <v>1.0000649490010181</v>
      </c>
      <c r="N208" s="340">
        <f t="shared" si="93"/>
        <v>1.1396972045426121E-2</v>
      </c>
      <c r="O208" s="341">
        <f t="shared" si="94"/>
        <v>1.0000329108920121</v>
      </c>
      <c r="P208" s="342">
        <f t="shared" si="95"/>
        <v>1.7947273592789654E-2</v>
      </c>
      <c r="Q208" s="343">
        <f t="shared" si="96"/>
        <v>1.8720471898049797</v>
      </c>
      <c r="R208" s="344">
        <f t="shared" si="97"/>
        <v>-41.214201409331721</v>
      </c>
      <c r="S208" s="346">
        <f t="shared" si="98"/>
        <v>138.78579859066826</v>
      </c>
      <c r="U208" s="319">
        <f t="shared" si="104"/>
        <v>1000000000</v>
      </c>
      <c r="V208" s="319">
        <f t="shared" si="105"/>
        <v>141276996</v>
      </c>
      <c r="X208" s="345">
        <f t="shared" si="99"/>
        <v>2.369391563624089</v>
      </c>
      <c r="Y208" s="346">
        <f t="shared" si="100"/>
        <v>-27.588830483474432</v>
      </c>
      <c r="AA208" s="345">
        <f t="shared" si="101"/>
        <v>32.726284495113269</v>
      </c>
      <c r="AB208" s="346">
        <f t="shared" si="102"/>
        <v>-13.625370925857293</v>
      </c>
      <c r="AD208">
        <f t="shared" si="106"/>
        <v>0</v>
      </c>
      <c r="AE208">
        <f t="shared" si="81"/>
        <v>0</v>
      </c>
    </row>
    <row r="209" spans="1:31" x14ac:dyDescent="0.2">
      <c r="A209" s="347">
        <v>11954.5</v>
      </c>
      <c r="B209" s="364">
        <f t="shared" si="103"/>
        <v>11.954499999999999</v>
      </c>
      <c r="C209" s="337">
        <f t="shared" si="84"/>
        <v>1.0251103288666343</v>
      </c>
      <c r="D209" s="338">
        <f t="shared" si="85"/>
        <v>0.22179227424301942</v>
      </c>
      <c r="E209" s="338">
        <f t="shared" si="86"/>
        <v>1.0000002492574949</v>
      </c>
      <c r="F209" s="339">
        <f t="shared" si="87"/>
        <v>7.0605586616071339E-4</v>
      </c>
      <c r="G209" s="338">
        <f t="shared" si="88"/>
        <v>1</v>
      </c>
      <c r="H209" s="339">
        <f t="shared" si="89"/>
        <v>0</v>
      </c>
      <c r="I209" s="337">
        <f t="shared" si="90"/>
        <v>129796.10058397362</v>
      </c>
      <c r="J209" s="340">
        <f t="shared" si="91"/>
        <v>1.5707886224031968</v>
      </c>
      <c r="K209" s="348">
        <f t="shared" si="82"/>
        <v>2.2176265216704074</v>
      </c>
      <c r="L209" s="349">
        <f t="shared" si="83"/>
        <v>1.1029864482354308</v>
      </c>
      <c r="M209" s="337">
        <f t="shared" si="92"/>
        <v>1.0000656997464334</v>
      </c>
      <c r="N209" s="340">
        <f t="shared" si="93"/>
        <v>1.1462648000174387E-2</v>
      </c>
      <c r="O209" s="341">
        <f t="shared" si="94"/>
        <v>1.0000332914111316</v>
      </c>
      <c r="P209" s="342">
        <f t="shared" si="95"/>
        <v>1.805070954703171E-2</v>
      </c>
      <c r="Q209" s="343">
        <f t="shared" si="96"/>
        <v>1.8594391461180326</v>
      </c>
      <c r="R209" s="344">
        <f t="shared" si="97"/>
        <v>-41.161388322107754</v>
      </c>
      <c r="S209" s="346">
        <f t="shared" si="98"/>
        <v>138.83861167789223</v>
      </c>
      <c r="U209" s="319">
        <f t="shared" si="104"/>
        <v>1000000000</v>
      </c>
      <c r="V209" s="319">
        <f t="shared" si="105"/>
        <v>142910070.25</v>
      </c>
      <c r="X209" s="345">
        <f t="shared" si="99"/>
        <v>2.3591889903968619</v>
      </c>
      <c r="Y209" s="346">
        <f t="shared" si="100"/>
        <v>-27.459851610688382</v>
      </c>
      <c r="AA209" s="345">
        <f t="shared" si="101"/>
        <v>32.723879024653549</v>
      </c>
      <c r="AB209" s="346">
        <f t="shared" si="102"/>
        <v>-13.701536711419372</v>
      </c>
      <c r="AD209">
        <f t="shared" si="106"/>
        <v>0</v>
      </c>
      <c r="AE209">
        <f t="shared" si="81"/>
        <v>0</v>
      </c>
    </row>
    <row r="210" spans="1:31" x14ac:dyDescent="0.2">
      <c r="A210" s="347">
        <v>12023</v>
      </c>
      <c r="B210" s="364">
        <f t="shared" si="103"/>
        <v>12.023</v>
      </c>
      <c r="C210" s="337">
        <f t="shared" si="84"/>
        <v>1.0253953465148067</v>
      </c>
      <c r="D210" s="338">
        <f t="shared" si="85"/>
        <v>0.22302154586967829</v>
      </c>
      <c r="E210" s="338">
        <f t="shared" si="86"/>
        <v>1.0000002521221991</v>
      </c>
      <c r="F210" s="339">
        <f t="shared" si="87"/>
        <v>7.1010160714694186E-4</v>
      </c>
      <c r="G210" s="338">
        <f t="shared" si="88"/>
        <v>1</v>
      </c>
      <c r="H210" s="339">
        <f t="shared" si="89"/>
        <v>0</v>
      </c>
      <c r="I210" s="337">
        <f t="shared" si="90"/>
        <v>130539.84000339526</v>
      </c>
      <c r="J210" s="340">
        <f t="shared" si="91"/>
        <v>1.5707886662983004</v>
      </c>
      <c r="K210" s="348">
        <f t="shared" si="82"/>
        <v>2.2277556545076496</v>
      </c>
      <c r="L210" s="349">
        <f t="shared" si="83"/>
        <v>1.1052822185772706</v>
      </c>
      <c r="M210" s="337">
        <f t="shared" si="92"/>
        <v>1.000066454805457</v>
      </c>
      <c r="N210" s="340">
        <f t="shared" si="93"/>
        <v>1.152832385603408E-2</v>
      </c>
      <c r="O210" s="341">
        <f t="shared" si="94"/>
        <v>1.0000336741189804</v>
      </c>
      <c r="P210" s="342">
        <f t="shared" si="95"/>
        <v>1.8154145575965765E-2</v>
      </c>
      <c r="Q210" s="343">
        <f t="shared" si="96"/>
        <v>1.8469689744046716</v>
      </c>
      <c r="R210" s="344">
        <f t="shared" si="97"/>
        <v>-41.109742555197577</v>
      </c>
      <c r="S210" s="346">
        <f t="shared" si="98"/>
        <v>138.89025744480242</v>
      </c>
      <c r="U210" s="319">
        <f t="shared" si="104"/>
        <v>1000000000</v>
      </c>
      <c r="V210" s="319">
        <f t="shared" si="105"/>
        <v>144552529</v>
      </c>
      <c r="X210" s="345">
        <f t="shared" si="99"/>
        <v>2.3491367728108483</v>
      </c>
      <c r="Y210" s="346">
        <f t="shared" si="100"/>
        <v>-27.332079123584485</v>
      </c>
      <c r="AA210" s="345">
        <f t="shared" si="101"/>
        <v>32.721461070526203</v>
      </c>
      <c r="AB210" s="346">
        <f t="shared" si="102"/>
        <v>-13.777663431613094</v>
      </c>
      <c r="AD210">
        <f t="shared" si="106"/>
        <v>0</v>
      </c>
      <c r="AE210">
        <f t="shared" si="81"/>
        <v>0</v>
      </c>
    </row>
    <row r="211" spans="1:31" x14ac:dyDescent="0.2">
      <c r="A211" s="347">
        <v>12093</v>
      </c>
      <c r="B211" s="364">
        <f t="shared" si="103"/>
        <v>12.093</v>
      </c>
      <c r="C211" s="337">
        <f t="shared" si="84"/>
        <v>1.0256882052753427</v>
      </c>
      <c r="D211" s="338">
        <f t="shared" si="85"/>
        <v>0.22427702812481679</v>
      </c>
      <c r="E211" s="338">
        <f t="shared" si="86"/>
        <v>1.0000002550665439</v>
      </c>
      <c r="F211" s="339">
        <f t="shared" si="87"/>
        <v>7.1423594097746578E-4</v>
      </c>
      <c r="G211" s="338">
        <f t="shared" si="88"/>
        <v>1</v>
      </c>
      <c r="H211" s="339">
        <f t="shared" si="89"/>
        <v>0</v>
      </c>
      <c r="I211" s="337">
        <f t="shared" si="90"/>
        <v>131299.86568747603</v>
      </c>
      <c r="J211" s="340">
        <f t="shared" si="91"/>
        <v>1.5707887106408756</v>
      </c>
      <c r="K211" s="348">
        <f t="shared" si="82"/>
        <v>2.2381186121474275</v>
      </c>
      <c r="L211" s="349">
        <f t="shared" si="83"/>
        <v>1.1076067810765697</v>
      </c>
      <c r="M211" s="337">
        <f t="shared" si="92"/>
        <v>1.0000672308549396</v>
      </c>
      <c r="N211" s="340">
        <f t="shared" si="93"/>
        <v>1.1595437766571565E-2</v>
      </c>
      <c r="O211" s="341">
        <f t="shared" si="94"/>
        <v>1.0000340674684765</v>
      </c>
      <c r="P211" s="342">
        <f t="shared" si="95"/>
        <v>1.8259846705039301E-2</v>
      </c>
      <c r="Q211" s="343">
        <f t="shared" si="96"/>
        <v>1.834365225725882</v>
      </c>
      <c r="R211" s="344">
        <f t="shared" si="97"/>
        <v>-41.058156002356327</v>
      </c>
      <c r="S211" s="346">
        <f t="shared" si="98"/>
        <v>138.94184399764367</v>
      </c>
      <c r="U211" s="319">
        <f t="shared" si="104"/>
        <v>1000000000</v>
      </c>
      <c r="V211" s="319">
        <f t="shared" si="105"/>
        <v>146240649</v>
      </c>
      <c r="X211" s="345">
        <f t="shared" si="99"/>
        <v>2.3390168004741616</v>
      </c>
      <c r="Y211" s="346">
        <f t="shared" si="100"/>
        <v>-27.202739387475297</v>
      </c>
      <c r="AA211" s="345">
        <f t="shared" si="101"/>
        <v>32.7189772941841</v>
      </c>
      <c r="AB211" s="346">
        <f t="shared" si="102"/>
        <v>-13.855416614881037</v>
      </c>
      <c r="AD211">
        <f t="shared" si="106"/>
        <v>0</v>
      </c>
      <c r="AE211">
        <f t="shared" si="81"/>
        <v>0</v>
      </c>
    </row>
    <row r="212" spans="1:31" x14ac:dyDescent="0.2">
      <c r="A212" s="347">
        <v>12163</v>
      </c>
      <c r="B212" s="364">
        <f t="shared" si="103"/>
        <v>12.163</v>
      </c>
      <c r="C212" s="337">
        <f t="shared" si="84"/>
        <v>1.0259826798377876</v>
      </c>
      <c r="D212" s="338">
        <f t="shared" si="85"/>
        <v>0.22553179166708962</v>
      </c>
      <c r="E212" s="338">
        <f t="shared" si="86"/>
        <v>1.0000002580279814</v>
      </c>
      <c r="F212" s="339">
        <f t="shared" si="87"/>
        <v>7.1837027478357314E-4</v>
      </c>
      <c r="G212" s="338">
        <f t="shared" si="88"/>
        <v>1</v>
      </c>
      <c r="H212" s="339">
        <f t="shared" si="89"/>
        <v>0</v>
      </c>
      <c r="I212" s="337">
        <f t="shared" si="90"/>
        <v>132059.89137155702</v>
      </c>
      <c r="J212" s="340">
        <f t="shared" si="91"/>
        <v>1.5707887544730537</v>
      </c>
      <c r="K212" s="348">
        <f t="shared" si="82"/>
        <v>2.2484935521488549</v>
      </c>
      <c r="L212" s="349">
        <f t="shared" si="83"/>
        <v>1.1099099040548359</v>
      </c>
      <c r="M212" s="337">
        <f t="shared" si="92"/>
        <v>1.000068011408995</v>
      </c>
      <c r="N212" s="340">
        <f t="shared" si="93"/>
        <v>1.1662551572646404E-2</v>
      </c>
      <c r="O212" s="341">
        <f t="shared" si="94"/>
        <v>1.0000344631036828</v>
      </c>
      <c r="P212" s="342">
        <f t="shared" si="95"/>
        <v>1.8365547913014268E-2</v>
      </c>
      <c r="Q212" s="343">
        <f t="shared" si="96"/>
        <v>1.8218995553653783</v>
      </c>
      <c r="R212" s="344">
        <f t="shared" si="97"/>
        <v>-41.007756633665799</v>
      </c>
      <c r="S212" s="346">
        <f t="shared" si="98"/>
        <v>138.99224336633421</v>
      </c>
      <c r="U212" s="319">
        <f t="shared" si="104"/>
        <v>1000000000</v>
      </c>
      <c r="V212" s="319">
        <f t="shared" si="105"/>
        <v>147938569</v>
      </c>
      <c r="X212" s="345">
        <f t="shared" si="99"/>
        <v>2.3290478973139792</v>
      </c>
      <c r="Y212" s="346">
        <f t="shared" si="100"/>
        <v>-27.074628010208631</v>
      </c>
      <c r="AA212" s="345">
        <f t="shared" si="101"/>
        <v>32.71648052698378</v>
      </c>
      <c r="AB212" s="346">
        <f t="shared" si="102"/>
        <v>-13.933128623457165</v>
      </c>
      <c r="AD212">
        <f t="shared" si="106"/>
        <v>0</v>
      </c>
      <c r="AE212">
        <f t="shared" si="81"/>
        <v>0</v>
      </c>
    </row>
    <row r="213" spans="1:31" x14ac:dyDescent="0.2">
      <c r="A213" s="347">
        <v>12233</v>
      </c>
      <c r="B213" s="364">
        <f t="shared" si="103"/>
        <v>12.233000000000001</v>
      </c>
      <c r="C213" s="337">
        <f t="shared" si="84"/>
        <v>1.0262787688112547</v>
      </c>
      <c r="D213" s="338">
        <f t="shared" si="85"/>
        <v>0.22678583316579559</v>
      </c>
      <c r="E213" s="338">
        <f t="shared" si="86"/>
        <v>1.0000002610065115</v>
      </c>
      <c r="F213" s="339">
        <f t="shared" si="87"/>
        <v>7.2250460856512289E-4</v>
      </c>
      <c r="G213" s="338">
        <f t="shared" si="88"/>
        <v>1</v>
      </c>
      <c r="H213" s="339">
        <f t="shared" si="89"/>
        <v>0</v>
      </c>
      <c r="I213" s="337">
        <f t="shared" si="90"/>
        <v>132819.9170556383</v>
      </c>
      <c r="J213" s="340">
        <f t="shared" si="91"/>
        <v>1.5707887978035964</v>
      </c>
      <c r="K213" s="348">
        <f t="shared" si="82"/>
        <v>2.2588803094085255</v>
      </c>
      <c r="L213" s="349">
        <f t="shared" si="83"/>
        <v>1.112191858658127</v>
      </c>
      <c r="M213" s="337">
        <f t="shared" si="92"/>
        <v>1.0000687964676127</v>
      </c>
      <c r="N213" s="340">
        <f t="shared" si="93"/>
        <v>1.1729665273654247E-2</v>
      </c>
      <c r="O213" s="341">
        <f t="shared" si="94"/>
        <v>1.0000348610246386</v>
      </c>
      <c r="P213" s="342">
        <f t="shared" si="95"/>
        <v>1.8471249200346762E-2</v>
      </c>
      <c r="Q213" s="343">
        <f t="shared" si="96"/>
        <v>1.8095690860200289</v>
      </c>
      <c r="R213" s="344">
        <f t="shared" si="97"/>
        <v>-40.958528723259562</v>
      </c>
      <c r="S213" s="346">
        <f t="shared" si="98"/>
        <v>139.04147127674042</v>
      </c>
      <c r="U213" s="319">
        <f t="shared" si="104"/>
        <v>1000000000</v>
      </c>
      <c r="V213" s="319">
        <f t="shared" si="105"/>
        <v>149646289</v>
      </c>
      <c r="X213" s="345">
        <f t="shared" si="99"/>
        <v>2.3192271628847632</v>
      </c>
      <c r="Y213" s="346">
        <f t="shared" si="100"/>
        <v>-26.947729456727068</v>
      </c>
      <c r="AA213" s="345">
        <f t="shared" si="101"/>
        <v>32.713970792067649</v>
      </c>
      <c r="AB213" s="346">
        <f t="shared" si="102"/>
        <v>-14.010799266532501</v>
      </c>
      <c r="AD213">
        <f t="shared" si="106"/>
        <v>0</v>
      </c>
      <c r="AE213">
        <f t="shared" si="81"/>
        <v>0</v>
      </c>
    </row>
    <row r="214" spans="1:31" x14ac:dyDescent="0.2">
      <c r="A214" s="347">
        <v>12303</v>
      </c>
      <c r="B214" s="364">
        <f t="shared" si="103"/>
        <v>12.303000000000001</v>
      </c>
      <c r="C214" s="337">
        <f t="shared" si="84"/>
        <v>1.0265764707988407</v>
      </c>
      <c r="D214" s="338">
        <f t="shared" si="85"/>
        <v>0.22803914930314964</v>
      </c>
      <c r="E214" s="338">
        <f t="shared" si="86"/>
        <v>1.0000002640021344</v>
      </c>
      <c r="F214" s="339">
        <f t="shared" si="87"/>
        <v>7.2663894232197343E-4</v>
      </c>
      <c r="G214" s="338">
        <f t="shared" si="88"/>
        <v>1</v>
      </c>
      <c r="H214" s="339">
        <f t="shared" si="89"/>
        <v>0</v>
      </c>
      <c r="I214" s="337">
        <f t="shared" si="90"/>
        <v>133579.94273971982</v>
      </c>
      <c r="J214" s="340">
        <f t="shared" si="91"/>
        <v>1.5707888406410662</v>
      </c>
      <c r="K214" s="348">
        <f t="shared" si="82"/>
        <v>2.2692787216594761</v>
      </c>
      <c r="L214" s="349">
        <f t="shared" si="83"/>
        <v>1.1144529119530004</v>
      </c>
      <c r="M214" s="337">
        <f t="shared" si="92"/>
        <v>1.000069586030782</v>
      </c>
      <c r="N214" s="340">
        <f t="shared" si="93"/>
        <v>1.1796778868990746E-2</v>
      </c>
      <c r="O214" s="341">
        <f t="shared" si="94"/>
        <v>1.0000352612313816</v>
      </c>
      <c r="P214" s="342">
        <f t="shared" si="95"/>
        <v>1.857695056749287E-2</v>
      </c>
      <c r="Q214" s="343">
        <f t="shared" si="96"/>
        <v>1.7973710075695315</v>
      </c>
      <c r="R214" s="344">
        <f t="shared" si="97"/>
        <v>-40.910456779738098</v>
      </c>
      <c r="S214" s="346">
        <f t="shared" si="98"/>
        <v>139.0895432202619</v>
      </c>
      <c r="U214" s="319">
        <f t="shared" si="104"/>
        <v>1000000000</v>
      </c>
      <c r="V214" s="319">
        <f t="shared" si="105"/>
        <v>151363809</v>
      </c>
      <c r="X214" s="345">
        <f t="shared" si="99"/>
        <v>2.3095517638351408</v>
      </c>
      <c r="Y214" s="346">
        <f t="shared" si="100"/>
        <v>-26.82202842569999</v>
      </c>
      <c r="AA214" s="345">
        <f t="shared" si="101"/>
        <v>32.711448112666773</v>
      </c>
      <c r="AB214" s="346">
        <f t="shared" si="102"/>
        <v>-14.088428354038099</v>
      </c>
      <c r="AD214">
        <f t="shared" si="106"/>
        <v>0</v>
      </c>
      <c r="AE214">
        <f t="shared" si="81"/>
        <v>0</v>
      </c>
    </row>
    <row r="215" spans="1:31" x14ac:dyDescent="0.2">
      <c r="A215" s="347">
        <v>12374.5</v>
      </c>
      <c r="B215" s="364">
        <f t="shared" si="103"/>
        <v>12.374499999999999</v>
      </c>
      <c r="C215" s="337">
        <f t="shared" si="84"/>
        <v>1.0268822158873867</v>
      </c>
      <c r="D215" s="338">
        <f t="shared" si="85"/>
        <v>0.22931856993568397</v>
      </c>
      <c r="E215" s="338">
        <f t="shared" si="86"/>
        <v>1.0000002670795951</v>
      </c>
      <c r="F215" s="339">
        <f t="shared" si="87"/>
        <v>7.3086186891939647E-4</v>
      </c>
      <c r="G215" s="338">
        <f t="shared" si="88"/>
        <v>1</v>
      </c>
      <c r="H215" s="339">
        <f t="shared" si="89"/>
        <v>0</v>
      </c>
      <c r="I215" s="337">
        <f t="shared" si="90"/>
        <v>134356.25468846047</v>
      </c>
      <c r="J215" s="340">
        <f t="shared" si="91"/>
        <v>1.570788883896147</v>
      </c>
      <c r="K215" s="348">
        <f t="shared" ref="K215:K278" si="107">SQRT(1+(A215/Zero2)^2)</f>
        <v>2.2799118235113918</v>
      </c>
      <c r="L215" s="349">
        <f t="shared" ref="L215:L278" si="108">ATAN(A215/Zero2)</f>
        <v>1.1167411119397719</v>
      </c>
      <c r="M215" s="337">
        <f t="shared" si="92"/>
        <v>1.0000703971635261</v>
      </c>
      <c r="N215" s="340">
        <f t="shared" si="93"/>
        <v>1.1865330503078199E-2</v>
      </c>
      <c r="O215" s="341">
        <f t="shared" si="94"/>
        <v>1.000035672373808</v>
      </c>
      <c r="P215" s="342">
        <f t="shared" si="95"/>
        <v>1.8684917046806526E-2</v>
      </c>
      <c r="Q215" s="343">
        <f t="shared" si="96"/>
        <v>1.7850453649637283</v>
      </c>
      <c r="R215" s="344">
        <f t="shared" si="97"/>
        <v>-40.862532245593442</v>
      </c>
      <c r="S215" s="346">
        <f t="shared" si="98"/>
        <v>139.13746775440654</v>
      </c>
      <c r="U215" s="319">
        <f t="shared" si="104"/>
        <v>1000000000</v>
      </c>
      <c r="V215" s="319">
        <f t="shared" si="105"/>
        <v>153128250.25</v>
      </c>
      <c r="X215" s="345">
        <f t="shared" si="99"/>
        <v>2.2998161973290063</v>
      </c>
      <c r="Y215" s="346">
        <f t="shared" si="100"/>
        <v>-26.69485442127629</v>
      </c>
      <c r="AA215" s="345">
        <f t="shared" si="101"/>
        <v>32.708858036567101</v>
      </c>
      <c r="AB215" s="346">
        <f t="shared" si="102"/>
        <v>-14.167677824317163</v>
      </c>
      <c r="AD215">
        <f t="shared" si="106"/>
        <v>0</v>
      </c>
      <c r="AE215">
        <f t="shared" si="81"/>
        <v>0</v>
      </c>
    </row>
    <row r="216" spans="1:31" x14ac:dyDescent="0.2">
      <c r="A216" s="347">
        <v>12446</v>
      </c>
      <c r="B216" s="364">
        <f t="shared" si="103"/>
        <v>12.446</v>
      </c>
      <c r="C216" s="337">
        <f t="shared" si="84"/>
        <v>1.027189640894784</v>
      </c>
      <c r="D216" s="338">
        <f t="shared" si="85"/>
        <v>0.23059722683105777</v>
      </c>
      <c r="E216" s="338">
        <f t="shared" si="86"/>
        <v>1.0000002701748891</v>
      </c>
      <c r="F216" s="339">
        <f t="shared" si="87"/>
        <v>7.3508479549075248E-4</v>
      </c>
      <c r="G216" s="338">
        <f t="shared" si="88"/>
        <v>1</v>
      </c>
      <c r="H216" s="339">
        <f t="shared" si="89"/>
        <v>0</v>
      </c>
      <c r="I216" s="337">
        <f t="shared" si="90"/>
        <v>135132.56663720138</v>
      </c>
      <c r="J216" s="340">
        <f t="shared" si="91"/>
        <v>1.570788926654243</v>
      </c>
      <c r="K216" s="348">
        <f t="shared" si="107"/>
        <v>2.2905567517949081</v>
      </c>
      <c r="L216" s="349">
        <f t="shared" si="108"/>
        <v>1.1190080557528939</v>
      </c>
      <c r="M216" s="337">
        <f t="shared" si="92"/>
        <v>1.0000712129959197</v>
      </c>
      <c r="N216" s="340">
        <f t="shared" si="93"/>
        <v>1.1933882025642476E-2</v>
      </c>
      <c r="O216" s="341">
        <f t="shared" si="94"/>
        <v>1.0000360859011157</v>
      </c>
      <c r="P216" s="342">
        <f t="shared" si="95"/>
        <v>1.8792883610352848E-2</v>
      </c>
      <c r="Q216" s="343">
        <f t="shared" si="96"/>
        <v>1.7728521280916008</v>
      </c>
      <c r="R216" s="344">
        <f t="shared" si="97"/>
        <v>-40.815781811535643</v>
      </c>
      <c r="S216" s="346">
        <f t="shared" si="98"/>
        <v>139.18421818846434</v>
      </c>
      <c r="U216" s="319">
        <f t="shared" si="104"/>
        <v>1000000000</v>
      </c>
      <c r="V216" s="319">
        <f t="shared" si="105"/>
        <v>154902916</v>
      </c>
      <c r="X216" s="345">
        <f t="shared" si="99"/>
        <v>2.2902264924748783</v>
      </c>
      <c r="Y216" s="346">
        <f t="shared" si="100"/>
        <v>-26.568898271027749</v>
      </c>
      <c r="AA216" s="345">
        <f t="shared" si="101"/>
        <v>32.706254504549108</v>
      </c>
      <c r="AB216" s="346">
        <f t="shared" si="102"/>
        <v>-14.246883540507893</v>
      </c>
      <c r="AD216">
        <f t="shared" si="106"/>
        <v>0</v>
      </c>
      <c r="AE216">
        <f t="shared" si="81"/>
        <v>0</v>
      </c>
    </row>
    <row r="217" spans="1:31" x14ac:dyDescent="0.2">
      <c r="A217" s="347">
        <v>12517.5</v>
      </c>
      <c r="B217" s="364">
        <f t="shared" si="103"/>
        <v>12.5175</v>
      </c>
      <c r="C217" s="337">
        <f t="shared" si="84"/>
        <v>1.0274987443131509</v>
      </c>
      <c r="D217" s="338">
        <f t="shared" si="85"/>
        <v>0.23187511649556497</v>
      </c>
      <c r="E217" s="338">
        <f t="shared" si="86"/>
        <v>1.0000002732880162</v>
      </c>
      <c r="F217" s="339">
        <f t="shared" si="87"/>
        <v>7.3930772203589085E-4</v>
      </c>
      <c r="G217" s="338">
        <f t="shared" si="88"/>
        <v>1</v>
      </c>
      <c r="H217" s="339">
        <f t="shared" si="89"/>
        <v>0</v>
      </c>
      <c r="I217" s="337">
        <f t="shared" si="90"/>
        <v>135908.8785859425</v>
      </c>
      <c r="J217" s="340">
        <f t="shared" si="91"/>
        <v>1.5707889689238701</v>
      </c>
      <c r="K217" s="348">
        <f t="shared" si="107"/>
        <v>2.3012133423902874</v>
      </c>
      <c r="L217" s="349">
        <f t="shared" si="108"/>
        <v>1.1212540152326131</v>
      </c>
      <c r="M217" s="337">
        <f t="shared" si="92"/>
        <v>1.0000720335279518</v>
      </c>
      <c r="N217" s="340">
        <f t="shared" si="93"/>
        <v>1.2002433436039558E-2</v>
      </c>
      <c r="O217" s="341">
        <f t="shared" si="94"/>
        <v>1.0000365018133468</v>
      </c>
      <c r="P217" s="342">
        <f t="shared" si="95"/>
        <v>1.8900850258617843E-2</v>
      </c>
      <c r="Q217" s="343">
        <f t="shared" si="96"/>
        <v>1.7607885078880803</v>
      </c>
      <c r="R217" s="344">
        <f t="shared" si="97"/>
        <v>-40.770189702570072</v>
      </c>
      <c r="S217" s="346">
        <f t="shared" si="98"/>
        <v>139.22981029742994</v>
      </c>
      <c r="U217" s="319">
        <f t="shared" si="104"/>
        <v>1000000000</v>
      </c>
      <c r="V217" s="319">
        <f t="shared" si="105"/>
        <v>156687806.25</v>
      </c>
      <c r="X217" s="345">
        <f t="shared" si="99"/>
        <v>2.2807798351689104</v>
      </c>
      <c r="Y217" s="346">
        <f t="shared" si="100"/>
        <v>-26.444144400106541</v>
      </c>
      <c r="AA217" s="345">
        <f t="shared" si="101"/>
        <v>32.703637541651545</v>
      </c>
      <c r="AB217" s="346">
        <f t="shared" si="102"/>
        <v>-14.326045302463525</v>
      </c>
      <c r="AD217">
        <f t="shared" si="106"/>
        <v>0</v>
      </c>
      <c r="AE217">
        <f t="shared" si="81"/>
        <v>0</v>
      </c>
    </row>
    <row r="218" spans="1:31" x14ac:dyDescent="0.2">
      <c r="A218" s="347">
        <v>12589</v>
      </c>
      <c r="B218" s="364">
        <f t="shared" si="103"/>
        <v>12.589</v>
      </c>
      <c r="C218" s="337">
        <f t="shared" si="84"/>
        <v>1.0278095246281911</v>
      </c>
      <c r="D218" s="338">
        <f t="shared" si="85"/>
        <v>0.23315223544971392</v>
      </c>
      <c r="E218" s="338">
        <f t="shared" si="86"/>
        <v>1.0000002764189764</v>
      </c>
      <c r="F218" s="339">
        <f t="shared" si="87"/>
        <v>7.4353064855466077E-4</v>
      </c>
      <c r="G218" s="338">
        <f t="shared" si="88"/>
        <v>1</v>
      </c>
      <c r="H218" s="339">
        <f t="shared" si="89"/>
        <v>0</v>
      </c>
      <c r="I218" s="337">
        <f t="shared" si="90"/>
        <v>136685.19053468388</v>
      </c>
      <c r="J218" s="340">
        <f t="shared" si="91"/>
        <v>1.5707890107133511</v>
      </c>
      <c r="K218" s="348">
        <f t="shared" si="107"/>
        <v>2.3118814340256608</v>
      </c>
      <c r="L218" s="349">
        <f t="shared" si="108"/>
        <v>1.1234792580566577</v>
      </c>
      <c r="M218" s="337">
        <f t="shared" si="92"/>
        <v>1.0000728587596104</v>
      </c>
      <c r="N218" s="340">
        <f t="shared" si="93"/>
        <v>1.2070984733625438E-2</v>
      </c>
      <c r="O218" s="341">
        <f t="shared" si="94"/>
        <v>1.0000369201105432</v>
      </c>
      <c r="P218" s="342">
        <f t="shared" si="95"/>
        <v>1.9008816992087486E-2</v>
      </c>
      <c r="Q218" s="343">
        <f t="shared" si="96"/>
        <v>1.7488517808625224</v>
      </c>
      <c r="R218" s="344">
        <f t="shared" si="97"/>
        <v>-40.72574038300025</v>
      </c>
      <c r="S218" s="346">
        <f t="shared" si="98"/>
        <v>139.27425961699976</v>
      </c>
      <c r="U218" s="319">
        <f t="shared" si="104"/>
        <v>1000000000</v>
      </c>
      <c r="V218" s="319">
        <f t="shared" si="105"/>
        <v>158482921</v>
      </c>
      <c r="X218" s="345">
        <f t="shared" si="99"/>
        <v>2.2714734767881373</v>
      </c>
      <c r="Y218" s="346">
        <f t="shared" si="100"/>
        <v>-26.320577472148514</v>
      </c>
      <c r="AA218" s="345">
        <f t="shared" si="101"/>
        <v>32.701007173006772</v>
      </c>
      <c r="AB218" s="346">
        <f t="shared" si="102"/>
        <v>-14.405162910851734</v>
      </c>
      <c r="AD218">
        <f t="shared" si="106"/>
        <v>0</v>
      </c>
      <c r="AE218">
        <f t="shared" ref="AE218:AE281" si="109">IF(AD218&gt;0,S218,0)</f>
        <v>0</v>
      </c>
    </row>
    <row r="219" spans="1:31" x14ac:dyDescent="0.2">
      <c r="A219" s="347">
        <v>12662.25</v>
      </c>
      <c r="B219" s="364">
        <f t="shared" si="103"/>
        <v>12.66225</v>
      </c>
      <c r="C219" s="337">
        <f t="shared" si="84"/>
        <v>1.0281296488279084</v>
      </c>
      <c r="D219" s="338">
        <f t="shared" si="85"/>
        <v>0.23445980970084329</v>
      </c>
      <c r="E219" s="338">
        <f t="shared" si="86"/>
        <v>1.0000002796450616</v>
      </c>
      <c r="F219" s="339">
        <f t="shared" si="87"/>
        <v>7.4785693338729766E-4</v>
      </c>
      <c r="G219" s="338">
        <f t="shared" si="88"/>
        <v>1</v>
      </c>
      <c r="H219" s="339">
        <f t="shared" si="89"/>
        <v>0</v>
      </c>
      <c r="I219" s="337">
        <f t="shared" si="90"/>
        <v>137480.50312552758</v>
      </c>
      <c r="J219" s="340">
        <f t="shared" si="91"/>
        <v>1.5707890530362378</v>
      </c>
      <c r="K219" s="348">
        <f t="shared" si="107"/>
        <v>2.3228223938544037</v>
      </c>
      <c r="L219" s="349">
        <f t="shared" si="108"/>
        <v>1.1257377569717861</v>
      </c>
      <c r="M219" s="337">
        <f t="shared" si="92"/>
        <v>1.0000737090628076</v>
      </c>
      <c r="N219" s="340">
        <f t="shared" si="93"/>
        <v>1.2141213742513259E-2</v>
      </c>
      <c r="O219" s="341">
        <f t="shared" si="94"/>
        <v>1.000037351119067</v>
      </c>
      <c r="P219" s="342">
        <f t="shared" si="95"/>
        <v>1.9119426356851096E-2</v>
      </c>
      <c r="Q219" s="343">
        <f t="shared" si="96"/>
        <v>1.7367517058061868</v>
      </c>
      <c r="R219" s="344">
        <f t="shared" si="97"/>
        <v>-40.681372235712658</v>
      </c>
      <c r="S219" s="346">
        <f t="shared" si="98"/>
        <v>139.31862776428733</v>
      </c>
      <c r="U219" s="319">
        <f t="shared" si="104"/>
        <v>1000000000</v>
      </c>
      <c r="V219" s="319">
        <f t="shared" si="105"/>
        <v>160332575.0625</v>
      </c>
      <c r="X219" s="345">
        <f t="shared" si="99"/>
        <v>2.2620820255875751</v>
      </c>
      <c r="Y219" s="346">
        <f t="shared" si="100"/>
        <v>-26.19520126686497</v>
      </c>
      <c r="AA219" s="345">
        <f t="shared" si="101"/>
        <v>32.698298549150991</v>
      </c>
      <c r="AB219" s="346">
        <f t="shared" si="102"/>
        <v>-14.486170968847686</v>
      </c>
      <c r="AD219">
        <f t="shared" si="106"/>
        <v>0</v>
      </c>
      <c r="AE219">
        <f t="shared" si="109"/>
        <v>0</v>
      </c>
    </row>
    <row r="220" spans="1:31" x14ac:dyDescent="0.2">
      <c r="A220" s="347">
        <v>12735.5</v>
      </c>
      <c r="B220" s="364">
        <f t="shared" si="103"/>
        <v>12.7355</v>
      </c>
      <c r="C220" s="337">
        <f t="shared" si="84"/>
        <v>1.0284515297766517</v>
      </c>
      <c r="D220" s="338">
        <f t="shared" si="85"/>
        <v>0.23576656770555274</v>
      </c>
      <c r="E220" s="338">
        <f t="shared" si="86"/>
        <v>1.0000002828898635</v>
      </c>
      <c r="F220" s="339">
        <f t="shared" si="87"/>
        <v>7.5218321819193947E-4</v>
      </c>
      <c r="G220" s="338">
        <f t="shared" si="88"/>
        <v>1</v>
      </c>
      <c r="H220" s="339">
        <f t="shared" si="89"/>
        <v>0</v>
      </c>
      <c r="I220" s="337">
        <f t="shared" si="90"/>
        <v>138275.81571637155</v>
      </c>
      <c r="J220" s="340">
        <f t="shared" si="91"/>
        <v>1.5707890948722727</v>
      </c>
      <c r="K220" s="348">
        <f t="shared" si="107"/>
        <v>2.3337750908490014</v>
      </c>
      <c r="L220" s="349">
        <f t="shared" si="108"/>
        <v>1.1279750683769136</v>
      </c>
      <c r="M220" s="337">
        <f t="shared" si="92"/>
        <v>1.0000745642984734</v>
      </c>
      <c r="N220" s="340">
        <f t="shared" si="93"/>
        <v>1.2211442631631705E-2</v>
      </c>
      <c r="O220" s="341">
        <f t="shared" si="94"/>
        <v>1.0000377846308215</v>
      </c>
      <c r="P220" s="342">
        <f t="shared" si="95"/>
        <v>1.9230035812073821E-2</v>
      </c>
      <c r="Q220" s="343">
        <f t="shared" si="96"/>
        <v>1.724779228066271</v>
      </c>
      <c r="R220" s="344">
        <f t="shared" si="97"/>
        <v>-40.638171246280621</v>
      </c>
      <c r="S220" s="346">
        <f t="shared" si="98"/>
        <v>139.36182875371938</v>
      </c>
      <c r="U220" s="319">
        <f t="shared" si="104"/>
        <v>1000000000</v>
      </c>
      <c r="V220" s="319">
        <f t="shared" si="105"/>
        <v>162192960.25</v>
      </c>
      <c r="X220" s="345">
        <f t="shared" si="99"/>
        <v>2.2528321880081297</v>
      </c>
      <c r="Y220" s="346">
        <f t="shared" si="100"/>
        <v>-26.071038981727416</v>
      </c>
      <c r="AA220" s="345">
        <f t="shared" si="101"/>
        <v>32.69557590899052</v>
      </c>
      <c r="AB220" s="346">
        <f t="shared" si="102"/>
        <v>-14.567132264553212</v>
      </c>
      <c r="AD220">
        <f t="shared" si="106"/>
        <v>0</v>
      </c>
      <c r="AE220">
        <f t="shared" si="109"/>
        <v>0</v>
      </c>
    </row>
    <row r="221" spans="1:31" x14ac:dyDescent="0.2">
      <c r="A221" s="347">
        <v>12808.75</v>
      </c>
      <c r="B221" s="364">
        <f t="shared" si="103"/>
        <v>12.80875</v>
      </c>
      <c r="C221" s="337">
        <f t="shared" si="84"/>
        <v>1.0287751658254776</v>
      </c>
      <c r="D221" s="338">
        <f t="shared" si="85"/>
        <v>0.23707250576921826</v>
      </c>
      <c r="E221" s="338">
        <f t="shared" si="86"/>
        <v>1.0000002861533823</v>
      </c>
      <c r="F221" s="339">
        <f t="shared" si="87"/>
        <v>7.5650950296842444E-4</v>
      </c>
      <c r="G221" s="338">
        <f t="shared" si="88"/>
        <v>1</v>
      </c>
      <c r="H221" s="339">
        <f t="shared" si="89"/>
        <v>0</v>
      </c>
      <c r="I221" s="337">
        <f t="shared" si="90"/>
        <v>139071.12830721569</v>
      </c>
      <c r="J221" s="340">
        <f t="shared" si="91"/>
        <v>1.5707891362298083</v>
      </c>
      <c r="K221" s="348">
        <f t="shared" si="107"/>
        <v>2.3447393605302564</v>
      </c>
      <c r="L221" s="349">
        <f t="shared" si="108"/>
        <v>1.1301914669415747</v>
      </c>
      <c r="M221" s="337">
        <f t="shared" si="92"/>
        <v>1.0000754244665957</v>
      </c>
      <c r="N221" s="340">
        <f t="shared" si="93"/>
        <v>1.2281671400288335E-2</v>
      </c>
      <c r="O221" s="341">
        <f t="shared" si="94"/>
        <v>1.0000382206458529</v>
      </c>
      <c r="P221" s="342">
        <f t="shared" si="95"/>
        <v>1.9340645358278185E-2</v>
      </c>
      <c r="Q221" s="343">
        <f t="shared" si="96"/>
        <v>1.7129316219411275</v>
      </c>
      <c r="R221" s="344">
        <f t="shared" si="97"/>
        <v>-40.596121466081534</v>
      </c>
      <c r="S221" s="346">
        <f t="shared" si="98"/>
        <v>139.40387853391846</v>
      </c>
      <c r="U221" s="319">
        <f t="shared" si="104"/>
        <v>1000000000</v>
      </c>
      <c r="V221" s="319">
        <f t="shared" si="105"/>
        <v>164064076.5625</v>
      </c>
      <c r="X221" s="345">
        <f t="shared" si="99"/>
        <v>2.2437212110243703</v>
      </c>
      <c r="Y221" s="346">
        <f t="shared" si="100"/>
        <v>-25.948074879769639</v>
      </c>
      <c r="AA221" s="345">
        <f t="shared" si="101"/>
        <v>32.692839279849139</v>
      </c>
      <c r="AB221" s="346">
        <f t="shared" si="102"/>
        <v>-14.648046586311896</v>
      </c>
      <c r="AD221">
        <f t="shared" si="106"/>
        <v>0</v>
      </c>
      <c r="AE221">
        <f t="shared" si="109"/>
        <v>0</v>
      </c>
    </row>
    <row r="222" spans="1:31" x14ac:dyDescent="0.2">
      <c r="A222" s="347">
        <v>12882</v>
      </c>
      <c r="B222" s="364">
        <f t="shared" si="103"/>
        <v>12.882</v>
      </c>
      <c r="C222" s="337">
        <f t="shared" si="84"/>
        <v>1.0291005553185317</v>
      </c>
      <c r="D222" s="338">
        <f t="shared" si="85"/>
        <v>0.23837762021303788</v>
      </c>
      <c r="E222" s="338">
        <f t="shared" si="86"/>
        <v>1.0000002894356177</v>
      </c>
      <c r="F222" s="339">
        <f t="shared" si="87"/>
        <v>7.6083578771659059E-4</v>
      </c>
      <c r="G222" s="338">
        <f t="shared" si="88"/>
        <v>1</v>
      </c>
      <c r="H222" s="339">
        <f t="shared" si="89"/>
        <v>0</v>
      </c>
      <c r="I222" s="337">
        <f t="shared" si="90"/>
        <v>139866.44089806013</v>
      </c>
      <c r="J222" s="340">
        <f t="shared" si="91"/>
        <v>1.5707891771170068</v>
      </c>
      <c r="K222" s="348">
        <f t="shared" si="107"/>
        <v>2.355715041308946</v>
      </c>
      <c r="L222" s="349">
        <f t="shared" si="108"/>
        <v>1.1323872230463568</v>
      </c>
      <c r="M222" s="337">
        <f t="shared" si="92"/>
        <v>1.0000762895671613</v>
      </c>
      <c r="N222" s="340">
        <f t="shared" si="93"/>
        <v>1.2351900047790711E-2</v>
      </c>
      <c r="O222" s="341">
        <f t="shared" si="94"/>
        <v>1.0000386591642072</v>
      </c>
      <c r="P222" s="342">
        <f t="shared" si="95"/>
        <v>1.9451254995986676E-2</v>
      </c>
      <c r="Q222" s="343">
        <f t="shared" si="96"/>
        <v>1.701206226442159</v>
      </c>
      <c r="R222" s="344">
        <f t="shared" si="97"/>
        <v>-40.555207193126947</v>
      </c>
      <c r="S222" s="346">
        <f t="shared" si="98"/>
        <v>139.44479280687307</v>
      </c>
      <c r="U222" s="319">
        <f t="shared" si="104"/>
        <v>1000000000</v>
      </c>
      <c r="V222" s="319">
        <f t="shared" si="105"/>
        <v>165945924</v>
      </c>
      <c r="X222" s="345">
        <f t="shared" si="99"/>
        <v>2.2347464062241955</v>
      </c>
      <c r="Y222" s="346">
        <f t="shared" si="100"/>
        <v>-25.8262934697531</v>
      </c>
      <c r="AA222" s="345">
        <f t="shared" si="101"/>
        <v>32.690088689150343</v>
      </c>
      <c r="AB222" s="346">
        <f t="shared" si="102"/>
        <v>-14.728913723373852</v>
      </c>
      <c r="AD222">
        <f t="shared" si="106"/>
        <v>0</v>
      </c>
      <c r="AE222">
        <f t="shared" si="109"/>
        <v>0</v>
      </c>
    </row>
    <row r="223" spans="1:31" x14ac:dyDescent="0.2">
      <c r="A223" s="347">
        <v>12957.25</v>
      </c>
      <c r="B223" s="364">
        <f t="shared" si="103"/>
        <v>12.95725</v>
      </c>
      <c r="C223" s="337">
        <f t="shared" si="84"/>
        <v>1.0294366533303287</v>
      </c>
      <c r="D223" s="338">
        <f t="shared" si="85"/>
        <v>0.23971750767327718</v>
      </c>
      <c r="E223" s="338">
        <f t="shared" si="86"/>
        <v>1.0000002928269609</v>
      </c>
      <c r="F223" s="339">
        <f t="shared" si="87"/>
        <v>7.6528019625074712E-4</v>
      </c>
      <c r="G223" s="338">
        <f t="shared" si="88"/>
        <v>1</v>
      </c>
      <c r="H223" s="339">
        <f t="shared" si="89"/>
        <v>0</v>
      </c>
      <c r="I223" s="337">
        <f t="shared" si="90"/>
        <v>140683.46850844999</v>
      </c>
      <c r="J223" s="340">
        <f t="shared" si="91"/>
        <v>1.5707892186391865</v>
      </c>
      <c r="K223" s="348">
        <f t="shared" si="107"/>
        <v>2.3670021152739058</v>
      </c>
      <c r="L223" s="349">
        <f t="shared" si="108"/>
        <v>1.1346217156136802</v>
      </c>
      <c r="M223" s="337">
        <f t="shared" si="92"/>
        <v>1.0000771834245001</v>
      </c>
      <c r="N223" s="340">
        <f t="shared" si="93"/>
        <v>1.2424046074137971E-2</v>
      </c>
      <c r="O223" s="341">
        <f t="shared" si="94"/>
        <v>1.0000391122625896</v>
      </c>
      <c r="P223" s="342">
        <f t="shared" si="95"/>
        <v>1.9564884787897505E-2</v>
      </c>
      <c r="Q223" s="343">
        <f t="shared" si="96"/>
        <v>1.689285215430312</v>
      </c>
      <c r="R223" s="344">
        <f t="shared" si="97"/>
        <v>-40.51434199962948</v>
      </c>
      <c r="S223" s="346">
        <f t="shared" si="98"/>
        <v>139.48565800037051</v>
      </c>
      <c r="U223" s="319">
        <f t="shared" si="104"/>
        <v>1000000000</v>
      </c>
      <c r="V223" s="319">
        <f t="shared" si="105"/>
        <v>167890327.5625</v>
      </c>
      <c r="X223" s="345">
        <f t="shared" si="99"/>
        <v>2.2256655970082391</v>
      </c>
      <c r="Y223" s="346">
        <f t="shared" si="100"/>
        <v>-25.702402518014541</v>
      </c>
      <c r="AA223" s="345">
        <f t="shared" si="101"/>
        <v>32.687248487354459</v>
      </c>
      <c r="AB223" s="346">
        <f t="shared" si="102"/>
        <v>-14.811939481614937</v>
      </c>
      <c r="AD223">
        <f t="shared" si="106"/>
        <v>0</v>
      </c>
      <c r="AE223">
        <f t="shared" si="109"/>
        <v>0</v>
      </c>
    </row>
    <row r="224" spans="1:31" x14ac:dyDescent="0.2">
      <c r="A224" s="347">
        <v>13032.5</v>
      </c>
      <c r="B224" s="364">
        <f t="shared" si="103"/>
        <v>13.032500000000001</v>
      </c>
      <c r="C224" s="337">
        <f t="shared" si="84"/>
        <v>1.0297745982797772</v>
      </c>
      <c r="D224" s="338">
        <f t="shared" si="85"/>
        <v>0.24105651810445311</v>
      </c>
      <c r="E224" s="338">
        <f t="shared" si="86"/>
        <v>1.0000002962380568</v>
      </c>
      <c r="F224" s="339">
        <f t="shared" si="87"/>
        <v>7.6972460475467077E-4</v>
      </c>
      <c r="G224" s="338">
        <f t="shared" si="88"/>
        <v>1</v>
      </c>
      <c r="H224" s="339">
        <f t="shared" si="89"/>
        <v>0</v>
      </c>
      <c r="I224" s="337">
        <f t="shared" si="90"/>
        <v>141500.49611884012</v>
      </c>
      <c r="J224" s="340">
        <f t="shared" si="91"/>
        <v>1.5707892596818656</v>
      </c>
      <c r="K224" s="348">
        <f t="shared" si="107"/>
        <v>2.3783008953682114</v>
      </c>
      <c r="L224" s="349">
        <f t="shared" si="108"/>
        <v>1.1368349879872415</v>
      </c>
      <c r="M224" s="337">
        <f t="shared" si="92"/>
        <v>1.0000780824872804</v>
      </c>
      <c r="N224" s="340">
        <f t="shared" si="93"/>
        <v>1.2496191971143268E-2</v>
      </c>
      <c r="O224" s="341">
        <f t="shared" si="94"/>
        <v>1.0000395680029612</v>
      </c>
      <c r="P224" s="342">
        <f t="shared" si="95"/>
        <v>1.9678514677495335E-2</v>
      </c>
      <c r="Q224" s="343">
        <f t="shared" si="96"/>
        <v>1.6774876888012762</v>
      </c>
      <c r="R224" s="344">
        <f t="shared" si="97"/>
        <v>-40.474642354327187</v>
      </c>
      <c r="S224" s="346">
        <f t="shared" si="98"/>
        <v>139.52535764567281</v>
      </c>
      <c r="U224" s="319">
        <f t="shared" si="104"/>
        <v>1000000000</v>
      </c>
      <c r="V224" s="319">
        <f t="shared" si="105"/>
        <v>169846056.25</v>
      </c>
      <c r="X224" s="345">
        <f t="shared" si="99"/>
        <v>2.216722947553718</v>
      </c>
      <c r="Y224" s="346">
        <f t="shared" si="100"/>
        <v>-25.579727358936275</v>
      </c>
      <c r="AA224" s="345">
        <f t="shared" si="101"/>
        <v>32.684393610179939</v>
      </c>
      <c r="AB224" s="346">
        <f t="shared" si="102"/>
        <v>-14.894914995390911</v>
      </c>
      <c r="AD224">
        <f t="shared" si="106"/>
        <v>0</v>
      </c>
      <c r="AE224">
        <f t="shared" si="109"/>
        <v>0</v>
      </c>
    </row>
    <row r="225" spans="1:31" x14ac:dyDescent="0.2">
      <c r="A225" s="347">
        <v>13107.75</v>
      </c>
      <c r="B225" s="364">
        <f t="shared" si="103"/>
        <v>13.107749999999999</v>
      </c>
      <c r="C225" s="337">
        <f t="shared" si="84"/>
        <v>1.0301143883491282</v>
      </c>
      <c r="D225" s="338">
        <f t="shared" si="85"/>
        <v>0.24239464757055193</v>
      </c>
      <c r="E225" s="338">
        <f t="shared" si="86"/>
        <v>1.0000002996689052</v>
      </c>
      <c r="F225" s="339">
        <f t="shared" si="87"/>
        <v>7.7416901322818613E-4</v>
      </c>
      <c r="G225" s="338">
        <f t="shared" si="88"/>
        <v>1</v>
      </c>
      <c r="H225" s="339">
        <f t="shared" si="89"/>
        <v>0</v>
      </c>
      <c r="I225" s="337">
        <f t="shared" si="90"/>
        <v>142317.52372923051</v>
      </c>
      <c r="J225" s="340">
        <f t="shared" si="91"/>
        <v>1.5707893002533029</v>
      </c>
      <c r="K225" s="348">
        <f t="shared" si="107"/>
        <v>2.3896112155418678</v>
      </c>
      <c r="L225" s="349">
        <f t="shared" si="108"/>
        <v>1.139027319641559</v>
      </c>
      <c r="M225" s="337">
        <f t="shared" si="92"/>
        <v>1.0000789867554882</v>
      </c>
      <c r="N225" s="340">
        <f t="shared" si="93"/>
        <v>1.2568337738055909E-2</v>
      </c>
      <c r="O225" s="341">
        <f t="shared" si="94"/>
        <v>1.0000400263853735</v>
      </c>
      <c r="P225" s="342">
        <f t="shared" si="95"/>
        <v>1.9792144665346588E-2</v>
      </c>
      <c r="Q225" s="343">
        <f t="shared" si="96"/>
        <v>1.6658109634578624</v>
      </c>
      <c r="R225" s="344">
        <f t="shared" si="97"/>
        <v>-40.436092019455351</v>
      </c>
      <c r="S225" s="346">
        <f t="shared" si="98"/>
        <v>139.56390798054466</v>
      </c>
      <c r="U225" s="319">
        <f t="shared" si="104"/>
        <v>1000000000</v>
      </c>
      <c r="V225" s="319">
        <f t="shared" si="105"/>
        <v>171813110.0625</v>
      </c>
      <c r="X225" s="345">
        <f t="shared" si="99"/>
        <v>2.207915744708624</v>
      </c>
      <c r="Y225" s="346">
        <f t="shared" si="100"/>
        <v>-25.458251980238096</v>
      </c>
      <c r="AA225" s="345">
        <f t="shared" si="101"/>
        <v>32.681524087681623</v>
      </c>
      <c r="AB225" s="346">
        <f t="shared" si="102"/>
        <v>-14.977840039217259</v>
      </c>
      <c r="AD225">
        <f t="shared" si="106"/>
        <v>0</v>
      </c>
      <c r="AE225">
        <f t="shared" si="109"/>
        <v>0</v>
      </c>
    </row>
    <row r="226" spans="1:31" x14ac:dyDescent="0.2">
      <c r="A226" s="347">
        <v>13183</v>
      </c>
      <c r="B226" s="364">
        <f t="shared" si="103"/>
        <v>13.183</v>
      </c>
      <c r="C226" s="337">
        <f t="shared" si="84"/>
        <v>1.0304560217131118</v>
      </c>
      <c r="D226" s="338">
        <f t="shared" si="85"/>
        <v>0.24373189215335686</v>
      </c>
      <c r="E226" s="338">
        <f t="shared" si="86"/>
        <v>1.0000003031195068</v>
      </c>
      <c r="F226" s="339">
        <f t="shared" si="87"/>
        <v>7.7861342167111745E-4</v>
      </c>
      <c r="G226" s="338">
        <f t="shared" si="88"/>
        <v>1</v>
      </c>
      <c r="H226" s="339">
        <f t="shared" si="89"/>
        <v>0</v>
      </c>
      <c r="I226" s="337">
        <f t="shared" si="90"/>
        <v>143134.5513396211</v>
      </c>
      <c r="J226" s="340">
        <f t="shared" si="91"/>
        <v>1.5707893403615676</v>
      </c>
      <c r="K226" s="348">
        <f t="shared" si="107"/>
        <v>2.4009329127057848</v>
      </c>
      <c r="L226" s="349">
        <f t="shared" si="108"/>
        <v>1.1411989855929245</v>
      </c>
      <c r="M226" s="337">
        <f t="shared" si="92"/>
        <v>1.0000798962291093</v>
      </c>
      <c r="N226" s="340">
        <f t="shared" si="93"/>
        <v>1.2640483374125207E-2</v>
      </c>
      <c r="O226" s="341">
        <f t="shared" si="94"/>
        <v>1.0000404874098774</v>
      </c>
      <c r="P226" s="342">
        <f t="shared" si="95"/>
        <v>1.9905774752017682E-2</v>
      </c>
      <c r="Q226" s="343">
        <f t="shared" si="96"/>
        <v>1.6542524207963041</v>
      </c>
      <c r="R226" s="344">
        <f t="shared" si="97"/>
        <v>-40.398675013695645</v>
      </c>
      <c r="S226" s="346">
        <f t="shared" si="98"/>
        <v>139.60132498630435</v>
      </c>
      <c r="U226" s="319">
        <f t="shared" si="104"/>
        <v>1000000000</v>
      </c>
      <c r="V226" s="319">
        <f t="shared" si="105"/>
        <v>173791489</v>
      </c>
      <c r="X226" s="345">
        <f t="shared" si="99"/>
        <v>2.1992413397070956</v>
      </c>
      <c r="Y226" s="346">
        <f t="shared" si="100"/>
        <v>-25.337960625066483</v>
      </c>
      <c r="AA226" s="345">
        <f t="shared" si="101"/>
        <v>32.678639950021591</v>
      </c>
      <c r="AB226" s="346">
        <f t="shared" si="102"/>
        <v>-15.06071438862916</v>
      </c>
      <c r="AD226">
        <f t="shared" si="106"/>
        <v>0</v>
      </c>
      <c r="AE226">
        <f t="shared" si="109"/>
        <v>0</v>
      </c>
    </row>
    <row r="227" spans="1:31" x14ac:dyDescent="0.2">
      <c r="A227" s="347">
        <v>13259.75</v>
      </c>
      <c r="B227" s="364">
        <f t="shared" si="103"/>
        <v>13.25975</v>
      </c>
      <c r="C227" s="337">
        <f t="shared" si="84"/>
        <v>1.0308063619199601</v>
      </c>
      <c r="D227" s="338">
        <f t="shared" si="85"/>
        <v>0.24509487721257725</v>
      </c>
      <c r="E227" s="338">
        <f t="shared" si="86"/>
        <v>1.0000003066592382</v>
      </c>
      <c r="F227" s="339">
        <f t="shared" si="87"/>
        <v>7.8314642294168967E-4</v>
      </c>
      <c r="G227" s="338">
        <f t="shared" si="88"/>
        <v>1</v>
      </c>
      <c r="H227" s="339">
        <f t="shared" si="89"/>
        <v>0</v>
      </c>
      <c r="I227" s="337">
        <f t="shared" si="90"/>
        <v>143967.86521467086</v>
      </c>
      <c r="J227" s="340">
        <f t="shared" si="91"/>
        <v>1.5707893808003963</v>
      </c>
      <c r="K227" s="348">
        <f t="shared" si="107"/>
        <v>2.4124918448739998</v>
      </c>
      <c r="L227" s="349">
        <f t="shared" si="108"/>
        <v>1.143392933458081</v>
      </c>
      <c r="M227" s="337">
        <f t="shared" si="92"/>
        <v>1.0000808291938492</v>
      </c>
      <c r="N227" s="340">
        <f t="shared" si="93"/>
        <v>1.2714066993625915E-2</v>
      </c>
      <c r="O227" s="341">
        <f t="shared" si="94"/>
        <v>1.0000409603459084</v>
      </c>
      <c r="P227" s="342">
        <f t="shared" si="95"/>
        <v>2.0021669992631864E-2</v>
      </c>
      <c r="Q227" s="343">
        <f t="shared" si="96"/>
        <v>1.6425825651624224</v>
      </c>
      <c r="R227" s="344">
        <f t="shared" si="97"/>
        <v>-40.361663286065273</v>
      </c>
      <c r="S227" s="346">
        <f t="shared" si="98"/>
        <v>139.63833671393473</v>
      </c>
      <c r="U227" s="319">
        <f t="shared" si="104"/>
        <v>1000000000</v>
      </c>
      <c r="V227" s="319">
        <f t="shared" si="105"/>
        <v>175820970.0625</v>
      </c>
      <c r="X227" s="345">
        <f t="shared" si="99"/>
        <v>2.1905281365258027</v>
      </c>
      <c r="Y227" s="346">
        <f t="shared" si="100"/>
        <v>-25.216475019595364</v>
      </c>
      <c r="AA227" s="345">
        <f t="shared" si="101"/>
        <v>32.675683297568995</v>
      </c>
      <c r="AB227" s="346">
        <f t="shared" si="102"/>
        <v>-15.145188266469916</v>
      </c>
      <c r="AD227">
        <f t="shared" si="106"/>
        <v>0</v>
      </c>
      <c r="AE227">
        <f t="shared" si="109"/>
        <v>0</v>
      </c>
    </row>
    <row r="228" spans="1:31" x14ac:dyDescent="0.2">
      <c r="A228" s="347">
        <v>13336.5</v>
      </c>
      <c r="B228" s="364">
        <f t="shared" si="103"/>
        <v>13.336499999999999</v>
      </c>
      <c r="C228" s="337">
        <f t="shared" si="84"/>
        <v>1.0311586157816257</v>
      </c>
      <c r="D228" s="338">
        <f t="shared" si="85"/>
        <v>0.24645693358265539</v>
      </c>
      <c r="E228" s="338">
        <f t="shared" si="86"/>
        <v>1.0000003102195179</v>
      </c>
      <c r="F228" s="339">
        <f t="shared" si="87"/>
        <v>7.8767942418007768E-4</v>
      </c>
      <c r="G228" s="338">
        <f t="shared" si="88"/>
        <v>1</v>
      </c>
      <c r="H228" s="339">
        <f t="shared" si="89"/>
        <v>0</v>
      </c>
      <c r="I228" s="337">
        <f t="shared" si="90"/>
        <v>144801.17908972091</v>
      </c>
      <c r="J228" s="340">
        <f t="shared" si="91"/>
        <v>1.5707894207737834</v>
      </c>
      <c r="K228" s="348">
        <f t="shared" si="107"/>
        <v>2.4240622785709318</v>
      </c>
      <c r="L228" s="349">
        <f t="shared" si="108"/>
        <v>1.1455659475776125</v>
      </c>
      <c r="M228" s="337">
        <f t="shared" si="92"/>
        <v>1.0000817675735656</v>
      </c>
      <c r="N228" s="340">
        <f t="shared" si="93"/>
        <v>1.2787650475437584E-2</v>
      </c>
      <c r="O228" s="341">
        <f t="shared" si="94"/>
        <v>1.0000414360305225</v>
      </c>
      <c r="P228" s="342">
        <f t="shared" si="95"/>
        <v>2.0137565337234938E-2</v>
      </c>
      <c r="Q228" s="343">
        <f t="shared" si="96"/>
        <v>1.6310303457397013</v>
      </c>
      <c r="R228" s="344">
        <f t="shared" si="97"/>
        <v>-40.325797735144732</v>
      </c>
      <c r="S228" s="346">
        <f t="shared" si="98"/>
        <v>139.67420226485527</v>
      </c>
      <c r="U228" s="319">
        <f t="shared" si="104"/>
        <v>1000000000</v>
      </c>
      <c r="V228" s="319">
        <f t="shared" si="105"/>
        <v>177862232.25</v>
      </c>
      <c r="X228" s="345">
        <f t="shared" si="99"/>
        <v>2.1819477094738544</v>
      </c>
      <c r="Y228" s="346">
        <f t="shared" si="100"/>
        <v>-25.096188794842487</v>
      </c>
      <c r="AA228" s="345">
        <f t="shared" si="101"/>
        <v>32.672711505198222</v>
      </c>
      <c r="AB228" s="346">
        <f t="shared" si="102"/>
        <v>-15.229608940302253</v>
      </c>
      <c r="AD228">
        <f t="shared" si="106"/>
        <v>0</v>
      </c>
      <c r="AE228">
        <f t="shared" si="109"/>
        <v>0</v>
      </c>
    </row>
    <row r="229" spans="1:31" x14ac:dyDescent="0.2">
      <c r="A229" s="347">
        <v>13413.25</v>
      </c>
      <c r="B229" s="364">
        <f t="shared" si="103"/>
        <v>13.41325</v>
      </c>
      <c r="C229" s="337">
        <f t="shared" si="84"/>
        <v>1.031512781337613</v>
      </c>
      <c r="D229" s="338">
        <f t="shared" si="85"/>
        <v>0.24781805716384367</v>
      </c>
      <c r="E229" s="338">
        <f t="shared" si="86"/>
        <v>1.0000003138003455</v>
      </c>
      <c r="F229" s="339">
        <f t="shared" si="87"/>
        <v>7.9221242538609488E-4</v>
      </c>
      <c r="G229" s="338">
        <f t="shared" si="88"/>
        <v>1</v>
      </c>
      <c r="H229" s="339">
        <f t="shared" si="89"/>
        <v>0</v>
      </c>
      <c r="I229" s="337">
        <f t="shared" si="90"/>
        <v>145634.49296477114</v>
      </c>
      <c r="J229" s="340">
        <f t="shared" si="91"/>
        <v>1.5707894602897188</v>
      </c>
      <c r="K229" s="348">
        <f t="shared" si="107"/>
        <v>2.4356440498838721</v>
      </c>
      <c r="L229" s="349">
        <f t="shared" si="108"/>
        <v>1.1477183059094274</v>
      </c>
      <c r="M229" s="337">
        <f t="shared" si="92"/>
        <v>1.0000827113682436</v>
      </c>
      <c r="N229" s="340">
        <f t="shared" si="93"/>
        <v>1.2861233818763763E-2</v>
      </c>
      <c r="O229" s="341">
        <f t="shared" si="94"/>
        <v>1.0000419144637751</v>
      </c>
      <c r="P229" s="342">
        <f t="shared" si="95"/>
        <v>2.0253460786427823E-2</v>
      </c>
      <c r="Q229" s="343">
        <f t="shared" si="96"/>
        <v>1.6195931802515415</v>
      </c>
      <c r="R229" s="344">
        <f t="shared" si="97"/>
        <v>-40.291062200667319</v>
      </c>
      <c r="S229" s="346">
        <f t="shared" si="98"/>
        <v>139.70893779933269</v>
      </c>
      <c r="U229" s="319">
        <f t="shared" si="104"/>
        <v>1000000000</v>
      </c>
      <c r="V229" s="319">
        <f t="shared" si="105"/>
        <v>179915275.5625</v>
      </c>
      <c r="X229" s="345">
        <f t="shared" si="99"/>
        <v>2.1734974439341705</v>
      </c>
      <c r="Y229" s="346">
        <f t="shared" si="100"/>
        <v>-24.977086025404951</v>
      </c>
      <c r="AA229" s="345">
        <f t="shared" si="101"/>
        <v>32.669724605249755</v>
      </c>
      <c r="AB229" s="346">
        <f t="shared" si="102"/>
        <v>-15.31397617526237</v>
      </c>
      <c r="AD229">
        <f t="shared" si="106"/>
        <v>0</v>
      </c>
      <c r="AE229">
        <f t="shared" si="109"/>
        <v>0</v>
      </c>
    </row>
    <row r="230" spans="1:31" x14ac:dyDescent="0.2">
      <c r="A230" s="347">
        <v>13490</v>
      </c>
      <c r="B230" s="364">
        <f t="shared" si="103"/>
        <v>13.49</v>
      </c>
      <c r="C230" s="337">
        <f t="shared" si="84"/>
        <v>1.0318688566194847</v>
      </c>
      <c r="D230" s="338">
        <f t="shared" si="85"/>
        <v>0.24917824387583298</v>
      </c>
      <c r="E230" s="338">
        <f t="shared" si="86"/>
        <v>1.0000003174017214</v>
      </c>
      <c r="F230" s="339">
        <f t="shared" si="87"/>
        <v>7.9674542655955533E-4</v>
      </c>
      <c r="G230" s="338">
        <f t="shared" si="88"/>
        <v>1</v>
      </c>
      <c r="H230" s="339">
        <f t="shared" si="89"/>
        <v>0</v>
      </c>
      <c r="I230" s="337">
        <f t="shared" si="90"/>
        <v>146467.80683982163</v>
      </c>
      <c r="J230" s="340">
        <f t="shared" si="91"/>
        <v>1.5707894993560103</v>
      </c>
      <c r="K230" s="348">
        <f t="shared" si="107"/>
        <v>2.4472369978439343</v>
      </c>
      <c r="L230" s="349">
        <f t="shared" si="108"/>
        <v>1.1498502819177918</v>
      </c>
      <c r="M230" s="337">
        <f t="shared" si="92"/>
        <v>1.0000836605778674</v>
      </c>
      <c r="N230" s="340">
        <f t="shared" si="93"/>
        <v>1.2934817022808005E-2</v>
      </c>
      <c r="O230" s="341">
        <f t="shared" si="94"/>
        <v>1.0000423956457218</v>
      </c>
      <c r="P230" s="342">
        <f t="shared" si="95"/>
        <v>2.0369356340811409E-2</v>
      </c>
      <c r="Q230" s="343">
        <f t="shared" si="96"/>
        <v>1.6082685488125943</v>
      </c>
      <c r="R230" s="344">
        <f t="shared" si="97"/>
        <v>-40.257440780936392</v>
      </c>
      <c r="S230" s="346">
        <f t="shared" si="98"/>
        <v>139.74255921906359</v>
      </c>
      <c r="U230" s="319">
        <f t="shared" si="104"/>
        <v>1000000000</v>
      </c>
      <c r="V230" s="319">
        <f t="shared" si="105"/>
        <v>181980100</v>
      </c>
      <c r="X230" s="345">
        <f t="shared" si="99"/>
        <v>2.1651747875690761</v>
      </c>
      <c r="Y230" s="346">
        <f t="shared" si="100"/>
        <v>-24.85915104333618</v>
      </c>
      <c r="AA230" s="345">
        <f t="shared" si="101"/>
        <v>32.666722630175897</v>
      </c>
      <c r="AB230" s="346">
        <f t="shared" si="102"/>
        <v>-15.398289737600214</v>
      </c>
      <c r="AD230">
        <f t="shared" si="106"/>
        <v>0</v>
      </c>
      <c r="AE230">
        <f t="shared" si="109"/>
        <v>0</v>
      </c>
    </row>
    <row r="231" spans="1:31" x14ac:dyDescent="0.2">
      <c r="A231" s="347">
        <v>13568.5</v>
      </c>
      <c r="B231" s="364">
        <f t="shared" si="103"/>
        <v>13.5685</v>
      </c>
      <c r="C231" s="337">
        <f t="shared" si="84"/>
        <v>1.0322350243603784</v>
      </c>
      <c r="D231" s="338">
        <f t="shared" si="85"/>
        <v>0.25056847122900722</v>
      </c>
      <c r="E231" s="338">
        <f t="shared" si="86"/>
        <v>1.0000003211064694</v>
      </c>
      <c r="F231" s="339">
        <f t="shared" si="87"/>
        <v>8.0138178603208793E-4</v>
      </c>
      <c r="G231" s="338">
        <f t="shared" si="88"/>
        <v>1</v>
      </c>
      <c r="H231" s="339">
        <f t="shared" si="89"/>
        <v>0</v>
      </c>
      <c r="I231" s="337">
        <f t="shared" si="90"/>
        <v>147320.12135697441</v>
      </c>
      <c r="J231" s="340">
        <f t="shared" si="91"/>
        <v>1.5707895388558779</v>
      </c>
      <c r="K231" s="348">
        <f t="shared" si="107"/>
        <v>2.4591056771768582</v>
      </c>
      <c r="L231" s="349">
        <f t="shared" si="108"/>
        <v>1.1520100654320458</v>
      </c>
      <c r="M231" s="337">
        <f t="shared" si="92"/>
        <v>1.0000846370322465</v>
      </c>
      <c r="N231" s="340">
        <f t="shared" si="93"/>
        <v>1.3010077874866343E-2</v>
      </c>
      <c r="O231" s="341">
        <f t="shared" si="94"/>
        <v>1.0000428906427221</v>
      </c>
      <c r="P231" s="342">
        <f t="shared" si="95"/>
        <v>2.0487894574280997E-2</v>
      </c>
      <c r="Q231" s="343">
        <f t="shared" si="96"/>
        <v>1.5967995502572507</v>
      </c>
      <c r="R231" s="344">
        <f t="shared" si="97"/>
        <v>-40.224188949790104</v>
      </c>
      <c r="S231" s="346">
        <f t="shared" si="98"/>
        <v>139.77581105020988</v>
      </c>
      <c r="U231" s="319">
        <f t="shared" si="104"/>
        <v>1000000000</v>
      </c>
      <c r="V231" s="319">
        <f t="shared" si="105"/>
        <v>184104192.25</v>
      </c>
      <c r="X231" s="345">
        <f t="shared" si="99"/>
        <v>2.1567917737316473</v>
      </c>
      <c r="Y231" s="346">
        <f t="shared" si="100"/>
        <v>-24.739718955532222</v>
      </c>
      <c r="AA231" s="345">
        <f t="shared" si="101"/>
        <v>32.663636645457984</v>
      </c>
      <c r="AB231" s="346">
        <f t="shared" si="102"/>
        <v>-15.484469994257882</v>
      </c>
      <c r="AD231">
        <f t="shared" si="106"/>
        <v>0</v>
      </c>
      <c r="AE231">
        <f t="shared" si="109"/>
        <v>0</v>
      </c>
    </row>
    <row r="232" spans="1:31" x14ac:dyDescent="0.2">
      <c r="A232" s="347">
        <v>13647</v>
      </c>
      <c r="B232" s="364">
        <f t="shared" si="103"/>
        <v>13.647</v>
      </c>
      <c r="C232" s="337">
        <f t="shared" si="84"/>
        <v>1.0326031857178797</v>
      </c>
      <c r="D232" s="338">
        <f t="shared" si="85"/>
        <v>0.25195770993032568</v>
      </c>
      <c r="E232" s="338">
        <f t="shared" si="86"/>
        <v>1.0000003248327134</v>
      </c>
      <c r="F232" s="339">
        <f t="shared" si="87"/>
        <v>8.0601814547016785E-4</v>
      </c>
      <c r="G232" s="338">
        <f t="shared" si="88"/>
        <v>1</v>
      </c>
      <c r="H232" s="339">
        <f t="shared" si="89"/>
        <v>0</v>
      </c>
      <c r="I232" s="337">
        <f t="shared" si="90"/>
        <v>148172.43587412746</v>
      </c>
      <c r="J232" s="340">
        <f t="shared" si="91"/>
        <v>1.5707895779013248</v>
      </c>
      <c r="K232" s="348">
        <f t="shared" si="107"/>
        <v>2.4709857171880358</v>
      </c>
      <c r="L232" s="349">
        <f t="shared" si="108"/>
        <v>1.1541490911690391</v>
      </c>
      <c r="M232" s="337">
        <f t="shared" si="92"/>
        <v>1.0000856191512901</v>
      </c>
      <c r="N232" s="340">
        <f t="shared" si="93"/>
        <v>1.3085338579533395E-2</v>
      </c>
      <c r="O232" s="341">
        <f t="shared" si="94"/>
        <v>1.0000433885153122</v>
      </c>
      <c r="P232" s="342">
        <f t="shared" si="95"/>
        <v>2.060643291906445E-2</v>
      </c>
      <c r="Q232" s="343">
        <f t="shared" si="96"/>
        <v>1.585443136215563</v>
      </c>
      <c r="R232" s="344">
        <f t="shared" si="97"/>
        <v>-40.192069777993979</v>
      </c>
      <c r="S232" s="346">
        <f t="shared" si="98"/>
        <v>139.80793022200601</v>
      </c>
      <c r="U232" s="319">
        <f t="shared" si="104"/>
        <v>1000000000</v>
      </c>
      <c r="V232" s="319">
        <f t="shared" si="105"/>
        <v>186240609</v>
      </c>
      <c r="X232" s="345">
        <f t="shared" si="99"/>
        <v>2.1485370458100803</v>
      </c>
      <c r="Y232" s="346">
        <f t="shared" si="100"/>
        <v>-24.62147616627745</v>
      </c>
      <c r="AA232" s="345">
        <f t="shared" si="101"/>
        <v>32.660534959337866</v>
      </c>
      <c r="AB232" s="346">
        <f t="shared" si="102"/>
        <v>-15.570593611716525</v>
      </c>
      <c r="AD232">
        <f t="shared" si="106"/>
        <v>0</v>
      </c>
      <c r="AE232">
        <f t="shared" si="109"/>
        <v>0</v>
      </c>
    </row>
    <row r="233" spans="1:31" x14ac:dyDescent="0.2">
      <c r="A233" s="347">
        <v>13725.5</v>
      </c>
      <c r="B233" s="364">
        <f t="shared" si="103"/>
        <v>13.7255</v>
      </c>
      <c r="C233" s="337">
        <f t="shared" si="84"/>
        <v>1.0329733385603579</v>
      </c>
      <c r="D233" s="338">
        <f t="shared" si="85"/>
        <v>0.25334595567734303</v>
      </c>
      <c r="E233" s="338">
        <f t="shared" si="86"/>
        <v>1.0000003285804531</v>
      </c>
      <c r="F233" s="339">
        <f t="shared" si="87"/>
        <v>8.1065450487359568E-4</v>
      </c>
      <c r="G233" s="338">
        <f t="shared" si="88"/>
        <v>1</v>
      </c>
      <c r="H233" s="339">
        <f t="shared" si="89"/>
        <v>0</v>
      </c>
      <c r="I233" s="337">
        <f t="shared" si="90"/>
        <v>149024.75039128074</v>
      </c>
      <c r="J233" s="340">
        <f t="shared" si="91"/>
        <v>1.5707896165001478</v>
      </c>
      <c r="K233" s="348">
        <f t="shared" si="107"/>
        <v>2.4828769548021614</v>
      </c>
      <c r="L233" s="349">
        <f t="shared" si="108"/>
        <v>1.1562676376587693</v>
      </c>
      <c r="M233" s="337">
        <f t="shared" si="92"/>
        <v>1.000086606934981</v>
      </c>
      <c r="N233" s="340">
        <f t="shared" si="93"/>
        <v>1.316059913595702E-2</v>
      </c>
      <c r="O233" s="341">
        <f t="shared" si="94"/>
        <v>1.0000438892635528</v>
      </c>
      <c r="P233" s="342">
        <f t="shared" si="95"/>
        <v>2.0724971375804646E-2</v>
      </c>
      <c r="Q233" s="343">
        <f t="shared" si="96"/>
        <v>1.5741968019588439</v>
      </c>
      <c r="R233" s="344">
        <f t="shared" si="97"/>
        <v>-40.161067060877457</v>
      </c>
      <c r="S233" s="346">
        <f t="shared" si="98"/>
        <v>139.83893293912254</v>
      </c>
      <c r="U233" s="319">
        <f t="shared" si="104"/>
        <v>1000000000</v>
      </c>
      <c r="V233" s="319">
        <f t="shared" si="105"/>
        <v>188389350.25</v>
      </c>
      <c r="X233" s="345">
        <f t="shared" si="99"/>
        <v>2.1404080639965302</v>
      </c>
      <c r="Y233" s="346">
        <f t="shared" si="100"/>
        <v>-24.504406717376426</v>
      </c>
      <c r="AA233" s="345">
        <f t="shared" si="101"/>
        <v>32.65741760689469</v>
      </c>
      <c r="AB233" s="346">
        <f t="shared" si="102"/>
        <v>-15.656660343501034</v>
      </c>
      <c r="AD233">
        <f t="shared" si="106"/>
        <v>0</v>
      </c>
      <c r="AE233">
        <f t="shared" si="109"/>
        <v>0</v>
      </c>
    </row>
    <row r="234" spans="1:31" x14ac:dyDescent="0.2">
      <c r="A234" s="347">
        <v>13804</v>
      </c>
      <c r="B234" s="364">
        <f t="shared" si="103"/>
        <v>13.804</v>
      </c>
      <c r="C234" s="337">
        <f t="shared" si="84"/>
        <v>1.033345480747714</v>
      </c>
      <c r="D234" s="338">
        <f t="shared" si="85"/>
        <v>0.25473320418907103</v>
      </c>
      <c r="E234" s="338">
        <f t="shared" si="86"/>
        <v>1.0000003323496887</v>
      </c>
      <c r="F234" s="339">
        <f t="shared" si="87"/>
        <v>8.1529086424217206E-4</v>
      </c>
      <c r="G234" s="338">
        <f t="shared" si="88"/>
        <v>1</v>
      </c>
      <c r="H234" s="339">
        <f t="shared" si="89"/>
        <v>0</v>
      </c>
      <c r="I234" s="337">
        <f t="shared" si="90"/>
        <v>149877.06490843423</v>
      </c>
      <c r="J234" s="340">
        <f t="shared" si="91"/>
        <v>1.5707896546599665</v>
      </c>
      <c r="K234" s="348">
        <f t="shared" si="107"/>
        <v>2.4947792299008333</v>
      </c>
      <c r="L234" s="349">
        <f t="shared" si="108"/>
        <v>1.1583659788587606</v>
      </c>
      <c r="M234" s="337">
        <f t="shared" si="92"/>
        <v>1.0000876003833028</v>
      </c>
      <c r="N234" s="340">
        <f t="shared" si="93"/>
        <v>1.3235859543285081E-2</v>
      </c>
      <c r="O234" s="341">
        <f t="shared" si="94"/>
        <v>1.0000443928875051</v>
      </c>
      <c r="P234" s="342">
        <f t="shared" si="95"/>
        <v>2.0843509945144452E-2</v>
      </c>
      <c r="Q234" s="343">
        <f t="shared" si="96"/>
        <v>1.5630581037564337</v>
      </c>
      <c r="R234" s="344">
        <f t="shared" si="97"/>
        <v>-40.131164856972646</v>
      </c>
      <c r="S234" s="346">
        <f t="shared" si="98"/>
        <v>139.86883514302735</v>
      </c>
      <c r="U234" s="319">
        <f t="shared" si="104"/>
        <v>1000000000</v>
      </c>
      <c r="V234" s="319">
        <f t="shared" si="105"/>
        <v>190550416</v>
      </c>
      <c r="X234" s="345">
        <f t="shared" si="99"/>
        <v>2.1324023493635651</v>
      </c>
      <c r="Y234" s="346">
        <f t="shared" si="100"/>
        <v>-24.388494912606944</v>
      </c>
      <c r="AA234" s="345">
        <f t="shared" si="101"/>
        <v>32.654284623325246</v>
      </c>
      <c r="AB234" s="346">
        <f t="shared" si="102"/>
        <v>-15.7426699443657</v>
      </c>
      <c r="AD234">
        <f t="shared" si="106"/>
        <v>0</v>
      </c>
      <c r="AE234">
        <f t="shared" si="109"/>
        <v>0</v>
      </c>
    </row>
    <row r="235" spans="1:31" x14ac:dyDescent="0.2">
      <c r="A235" s="347">
        <v>13884.25</v>
      </c>
      <c r="B235" s="364">
        <f t="shared" si="103"/>
        <v>13.88425</v>
      </c>
      <c r="C235" s="337">
        <f t="shared" si="84"/>
        <v>1.0337279732229281</v>
      </c>
      <c r="D235" s="338">
        <f t="shared" si="85"/>
        <v>0.25615034335732995</v>
      </c>
      <c r="E235" s="338">
        <f t="shared" si="86"/>
        <v>1.0000003362251717</v>
      </c>
      <c r="F235" s="339">
        <f t="shared" si="87"/>
        <v>8.2003058190438819E-4</v>
      </c>
      <c r="G235" s="338">
        <f t="shared" si="88"/>
        <v>1</v>
      </c>
      <c r="H235" s="339">
        <f t="shared" si="89"/>
        <v>0</v>
      </c>
      <c r="I235" s="337">
        <f t="shared" si="90"/>
        <v>150748.3800676901</v>
      </c>
      <c r="J235" s="340">
        <f t="shared" si="91"/>
        <v>1.5707896932244425</v>
      </c>
      <c r="K235" s="348">
        <f t="shared" si="107"/>
        <v>2.5069580879452773</v>
      </c>
      <c r="L235" s="349">
        <f t="shared" si="108"/>
        <v>1.1604904929912232</v>
      </c>
      <c r="M235" s="337">
        <f t="shared" si="92"/>
        <v>1.0000886218340046</v>
      </c>
      <c r="N235" s="340">
        <f t="shared" si="93"/>
        <v>1.3312797575388674E-2</v>
      </c>
      <c r="O235" s="341">
        <f t="shared" si="94"/>
        <v>1.0000449107113956</v>
      </c>
      <c r="P235" s="342">
        <f t="shared" si="95"/>
        <v>2.0964691211117832E-2</v>
      </c>
      <c r="Q235" s="343">
        <f t="shared" si="96"/>
        <v>1.5517798699845096</v>
      </c>
      <c r="R235" s="344">
        <f t="shared" si="97"/>
        <v>-40.101717300340397</v>
      </c>
      <c r="S235" s="346">
        <f t="shared" si="98"/>
        <v>139.8982826996596</v>
      </c>
      <c r="U235" s="319">
        <f t="shared" si="104"/>
        <v>1000000000</v>
      </c>
      <c r="V235" s="319">
        <f t="shared" si="105"/>
        <v>192772398.0625</v>
      </c>
      <c r="X235" s="345">
        <f t="shared" si="99"/>
        <v>2.124343063676434</v>
      </c>
      <c r="Y235" s="346">
        <f t="shared" si="100"/>
        <v>-24.271179653272174</v>
      </c>
      <c r="AA235" s="345">
        <f t="shared" si="101"/>
        <v>32.651065675240453</v>
      </c>
      <c r="AB235" s="346">
        <f t="shared" si="102"/>
        <v>-15.830537647068217</v>
      </c>
      <c r="AD235">
        <f t="shared" si="106"/>
        <v>0</v>
      </c>
      <c r="AE235">
        <f t="shared" si="109"/>
        <v>0</v>
      </c>
    </row>
    <row r="236" spans="1:31" x14ac:dyDescent="0.2">
      <c r="A236" s="347">
        <v>13964.5</v>
      </c>
      <c r="B236" s="364">
        <f t="shared" si="103"/>
        <v>13.964499999999999</v>
      </c>
      <c r="C236" s="337">
        <f t="shared" si="84"/>
        <v>1.0341125401787274</v>
      </c>
      <c r="D236" s="338">
        <f t="shared" si="85"/>
        <v>0.2575664313530629</v>
      </c>
      <c r="E236" s="338">
        <f t="shared" si="86"/>
        <v>1.0000003401231199</v>
      </c>
      <c r="F236" s="339">
        <f t="shared" si="87"/>
        <v>8.2477029952976054E-4</v>
      </c>
      <c r="G236" s="338">
        <f t="shared" si="88"/>
        <v>1</v>
      </c>
      <c r="H236" s="339">
        <f t="shared" si="89"/>
        <v>0</v>
      </c>
      <c r="I236" s="337">
        <f t="shared" si="90"/>
        <v>151619.69522694621</v>
      </c>
      <c r="J236" s="340">
        <f t="shared" si="91"/>
        <v>1.5707897313456807</v>
      </c>
      <c r="K236" s="348">
        <f t="shared" si="107"/>
        <v>2.5191481518585688</v>
      </c>
      <c r="L236" s="349">
        <f t="shared" si="108"/>
        <v>1.1625944556544043</v>
      </c>
      <c r="M236" s="337">
        <f t="shared" si="92"/>
        <v>1.0000896492046798</v>
      </c>
      <c r="N236" s="340">
        <f t="shared" si="93"/>
        <v>1.3389735449874112E-2</v>
      </c>
      <c r="O236" s="341">
        <f t="shared" si="94"/>
        <v>1.0000454315407734</v>
      </c>
      <c r="P236" s="342">
        <f t="shared" si="95"/>
        <v>2.1085872596125758E-2</v>
      </c>
      <c r="Q236" s="343">
        <f t="shared" si="96"/>
        <v>1.5406091479009454</v>
      </c>
      <c r="R236" s="344">
        <f t="shared" si="97"/>
        <v>-40.073387000808566</v>
      </c>
      <c r="S236" s="346">
        <f t="shared" si="98"/>
        <v>139.92661299919143</v>
      </c>
      <c r="U236" s="319">
        <f t="shared" si="104"/>
        <v>1000000000</v>
      </c>
      <c r="V236" s="319">
        <f t="shared" si="105"/>
        <v>195007260.25</v>
      </c>
      <c r="X236" s="345">
        <f t="shared" si="99"/>
        <v>2.1164075507433942</v>
      </c>
      <c r="Y236" s="346">
        <f t="shared" si="100"/>
        <v>-24.155041871964873</v>
      </c>
      <c r="AA236" s="345">
        <f t="shared" si="101"/>
        <v>32.647830466089928</v>
      </c>
      <c r="AB236" s="346">
        <f t="shared" si="102"/>
        <v>-15.918345128843676</v>
      </c>
      <c r="AD236">
        <f t="shared" si="106"/>
        <v>0</v>
      </c>
      <c r="AE236">
        <f t="shared" si="109"/>
        <v>0</v>
      </c>
    </row>
    <row r="237" spans="1:31" x14ac:dyDescent="0.2">
      <c r="A237" s="347">
        <v>14044.75</v>
      </c>
      <c r="B237" s="364">
        <f t="shared" si="103"/>
        <v>14.044750000000001</v>
      </c>
      <c r="C237" s="337">
        <f t="shared" si="84"/>
        <v>1.0344991793015967</v>
      </c>
      <c r="D237" s="338">
        <f t="shared" si="85"/>
        <v>0.25898146367236685</v>
      </c>
      <c r="E237" s="338">
        <f t="shared" si="86"/>
        <v>1.0000003440435328</v>
      </c>
      <c r="F237" s="339">
        <f t="shared" si="87"/>
        <v>8.2951001711807605E-4</v>
      </c>
      <c r="G237" s="338">
        <f t="shared" si="88"/>
        <v>1</v>
      </c>
      <c r="H237" s="339">
        <f t="shared" si="89"/>
        <v>0</v>
      </c>
      <c r="I237" s="337">
        <f t="shared" si="90"/>
        <v>152491.01038620251</v>
      </c>
      <c r="J237" s="340">
        <f t="shared" si="91"/>
        <v>1.5707897690312784</v>
      </c>
      <c r="K237" s="348">
        <f t="shared" si="107"/>
        <v>2.5313492597504594</v>
      </c>
      <c r="L237" s="349">
        <f t="shared" si="108"/>
        <v>1.1646781452599571</v>
      </c>
      <c r="M237" s="337">
        <f t="shared" si="92"/>
        <v>1.0000906824953097</v>
      </c>
      <c r="N237" s="340">
        <f t="shared" si="93"/>
        <v>1.3466673165831023E-2</v>
      </c>
      <c r="O237" s="341">
        <f t="shared" si="94"/>
        <v>1.0000459553757048</v>
      </c>
      <c r="P237" s="342">
        <f t="shared" si="95"/>
        <v>2.1207054100855004E-2</v>
      </c>
      <c r="Q237" s="343">
        <f t="shared" si="96"/>
        <v>1.5295435134815736</v>
      </c>
      <c r="R237" s="344">
        <f t="shared" si="97"/>
        <v>-40.046157748932259</v>
      </c>
      <c r="S237" s="346">
        <f t="shared" si="98"/>
        <v>139.95384225106773</v>
      </c>
      <c r="U237" s="319">
        <f t="shared" si="104"/>
        <v>1000000000</v>
      </c>
      <c r="V237" s="319">
        <f t="shared" si="105"/>
        <v>197255002.5625</v>
      </c>
      <c r="X237" s="345">
        <f t="shared" si="99"/>
        <v>2.1085933485634092</v>
      </c>
      <c r="Y237" s="346">
        <f t="shared" si="100"/>
        <v>-24.040065617255447</v>
      </c>
      <c r="AA237" s="345">
        <f t="shared" si="101"/>
        <v>32.644579033850547</v>
      </c>
      <c r="AB237" s="346">
        <f t="shared" si="102"/>
        <v>-16.006092131676802</v>
      </c>
      <c r="AD237">
        <f t="shared" si="106"/>
        <v>0</v>
      </c>
      <c r="AE237">
        <f t="shared" si="109"/>
        <v>0</v>
      </c>
    </row>
    <row r="238" spans="1:31" x14ac:dyDescent="0.2">
      <c r="A238" s="347">
        <v>14125</v>
      </c>
      <c r="B238" s="364">
        <f t="shared" si="103"/>
        <v>14.125</v>
      </c>
      <c r="C238" s="337">
        <f t="shared" si="84"/>
        <v>1.0348878882690207</v>
      </c>
      <c r="D238" s="338">
        <f t="shared" si="85"/>
        <v>0.26039543583496172</v>
      </c>
      <c r="E238" s="338">
        <f t="shared" si="86"/>
        <v>1.0000003479864108</v>
      </c>
      <c r="F238" s="339">
        <f t="shared" si="87"/>
        <v>8.3424973466912167E-4</v>
      </c>
      <c r="G238" s="338">
        <f t="shared" si="88"/>
        <v>1</v>
      </c>
      <c r="H238" s="339">
        <f t="shared" si="89"/>
        <v>0</v>
      </c>
      <c r="I238" s="337">
        <f t="shared" si="90"/>
        <v>153362.32554545903</v>
      </c>
      <c r="J238" s="340">
        <f t="shared" si="91"/>
        <v>1.5707898062886612</v>
      </c>
      <c r="K238" s="348">
        <f t="shared" si="107"/>
        <v>2.5435612526916884</v>
      </c>
      <c r="L238" s="349">
        <f t="shared" si="108"/>
        <v>1.1667418355842043</v>
      </c>
      <c r="M238" s="337">
        <f t="shared" si="92"/>
        <v>1.0000917217058767</v>
      </c>
      <c r="N238" s="340">
        <f t="shared" si="93"/>
        <v>1.3543610722349051E-2</v>
      </c>
      <c r="O238" s="341">
        <f t="shared" si="94"/>
        <v>1.0000464822162567</v>
      </c>
      <c r="P238" s="342">
        <f t="shared" si="95"/>
        <v>2.1328235725992298E-2</v>
      </c>
      <c r="Q238" s="343">
        <f t="shared" si="96"/>
        <v>1.5185806021729538</v>
      </c>
      <c r="R238" s="344">
        <f t="shared" si="97"/>
        <v>-40.020013602195156</v>
      </c>
      <c r="S238" s="346">
        <f t="shared" si="98"/>
        <v>139.97998639780485</v>
      </c>
      <c r="U238" s="319">
        <f t="shared" si="104"/>
        <v>1000000000</v>
      </c>
      <c r="V238" s="319">
        <f t="shared" si="105"/>
        <v>199515625</v>
      </c>
      <c r="X238" s="345">
        <f t="shared" si="99"/>
        <v>2.1008980544830189</v>
      </c>
      <c r="Y238" s="346">
        <f t="shared" si="100"/>
        <v>-23.926235203289341</v>
      </c>
      <c r="AA238" s="345">
        <f t="shared" si="101"/>
        <v>32.641311416622315</v>
      </c>
      <c r="AB238" s="346">
        <f t="shared" si="102"/>
        <v>-16.093778398905815</v>
      </c>
      <c r="AD238">
        <f t="shared" si="106"/>
        <v>0</v>
      </c>
      <c r="AE238">
        <f t="shared" si="109"/>
        <v>0</v>
      </c>
    </row>
    <row r="239" spans="1:31" x14ac:dyDescent="0.2">
      <c r="A239" s="347">
        <v>14207.25</v>
      </c>
      <c r="B239" s="364">
        <f t="shared" si="103"/>
        <v>14.20725</v>
      </c>
      <c r="C239" s="337">
        <f t="shared" si="84"/>
        <v>1.035288430112582</v>
      </c>
      <c r="D239" s="338">
        <f t="shared" si="85"/>
        <v>0.26184354239834245</v>
      </c>
      <c r="E239" s="338">
        <f t="shared" si="86"/>
        <v>1.0000003520508653</v>
      </c>
      <c r="F239" s="339">
        <f t="shared" si="87"/>
        <v>8.391075759831652E-4</v>
      </c>
      <c r="G239" s="338">
        <f t="shared" si="88"/>
        <v>1</v>
      </c>
      <c r="H239" s="339">
        <f t="shared" si="89"/>
        <v>0</v>
      </c>
      <c r="I239" s="337">
        <f t="shared" si="90"/>
        <v>154255.35572426108</v>
      </c>
      <c r="J239" s="340">
        <f t="shared" si="91"/>
        <v>1.570789844037813</v>
      </c>
      <c r="K239" s="348">
        <f t="shared" si="107"/>
        <v>2.5560887264740586</v>
      </c>
      <c r="L239" s="349">
        <f t="shared" si="108"/>
        <v>1.1688364859815108</v>
      </c>
      <c r="M239" s="337">
        <f t="shared" si="92"/>
        <v>1.0000927929588341</v>
      </c>
      <c r="N239" s="340">
        <f t="shared" si="93"/>
        <v>1.3622465559357252E-2</v>
      </c>
      <c r="O239" s="341">
        <f t="shared" si="94"/>
        <v>1.0000470253057749</v>
      </c>
      <c r="P239" s="342">
        <f t="shared" si="95"/>
        <v>2.1452437579601955E-2</v>
      </c>
      <c r="Q239" s="343">
        <f t="shared" si="96"/>
        <v>1.507448653802768</v>
      </c>
      <c r="R239" s="344">
        <f t="shared" si="97"/>
        <v>-39.994327489648185</v>
      </c>
      <c r="S239" s="346">
        <f t="shared" si="98"/>
        <v>140.00567251035181</v>
      </c>
      <c r="U239" s="319">
        <f t="shared" si="104"/>
        <v>1000000000</v>
      </c>
      <c r="V239" s="319">
        <f t="shared" si="105"/>
        <v>201845952.5625</v>
      </c>
      <c r="X239" s="345">
        <f t="shared" si="99"/>
        <v>2.0931319143531382</v>
      </c>
      <c r="Y239" s="346">
        <f t="shared" si="100"/>
        <v>-23.810740788058151</v>
      </c>
      <c r="AA239" s="345">
        <f t="shared" si="101"/>
        <v>32.637945608382012</v>
      </c>
      <c r="AB239" s="346">
        <f t="shared" si="102"/>
        <v>-16.183586701590041</v>
      </c>
      <c r="AD239">
        <f t="shared" si="106"/>
        <v>0</v>
      </c>
      <c r="AE239">
        <f t="shared" si="109"/>
        <v>0</v>
      </c>
    </row>
    <row r="240" spans="1:31" x14ac:dyDescent="0.2">
      <c r="A240" s="347">
        <v>14289.5</v>
      </c>
      <c r="B240" s="364">
        <f t="shared" si="103"/>
        <v>14.2895</v>
      </c>
      <c r="C240" s="337">
        <f t="shared" si="84"/>
        <v>1.0356911412871614</v>
      </c>
      <c r="D240" s="338">
        <f t="shared" si="85"/>
        <v>0.26329052585007973</v>
      </c>
      <c r="E240" s="338">
        <f t="shared" si="86"/>
        <v>1.0000003561389184</v>
      </c>
      <c r="F240" s="339">
        <f t="shared" si="87"/>
        <v>8.4396541725760522E-4</v>
      </c>
      <c r="G240" s="338">
        <f t="shared" si="88"/>
        <v>1</v>
      </c>
      <c r="H240" s="339">
        <f t="shared" si="89"/>
        <v>0</v>
      </c>
      <c r="I240" s="337">
        <f t="shared" si="90"/>
        <v>155148.38590306338</v>
      </c>
      <c r="J240" s="340">
        <f t="shared" si="91"/>
        <v>1.5707898813523986</v>
      </c>
      <c r="K240" s="348">
        <f t="shared" si="107"/>
        <v>2.5686273058277971</v>
      </c>
      <c r="L240" s="349">
        <f t="shared" si="108"/>
        <v>1.1709106956189959</v>
      </c>
      <c r="M240" s="337">
        <f t="shared" si="92"/>
        <v>1.0000938704304405</v>
      </c>
      <c r="N240" s="340">
        <f t="shared" si="93"/>
        <v>1.3701320226944032E-2</v>
      </c>
      <c r="O240" s="341">
        <f t="shared" si="94"/>
        <v>1.0000475715527366</v>
      </c>
      <c r="P240" s="342">
        <f t="shared" si="95"/>
        <v>2.157663956115681E-2</v>
      </c>
      <c r="Q240" s="343">
        <f t="shared" si="96"/>
        <v>1.4964197672676098</v>
      </c>
      <c r="R240" s="344">
        <f t="shared" si="97"/>
        <v>-39.969748169540246</v>
      </c>
      <c r="S240" s="346">
        <f t="shared" si="98"/>
        <v>140.03025183045975</v>
      </c>
      <c r="U240" s="319">
        <f t="shared" si="104"/>
        <v>1000000000</v>
      </c>
      <c r="V240" s="319">
        <f t="shared" si="105"/>
        <v>204189810.25</v>
      </c>
      <c r="X240" s="345">
        <f t="shared" si="99"/>
        <v>2.0854857563944154</v>
      </c>
      <c r="Y240" s="346">
        <f t="shared" si="100"/>
        <v>-23.69641750749016</v>
      </c>
      <c r="AA240" s="345">
        <f t="shared" si="101"/>
        <v>32.634562879805571</v>
      </c>
      <c r="AB240" s="346">
        <f t="shared" si="102"/>
        <v>-16.273330662050089</v>
      </c>
      <c r="AD240">
        <f t="shared" si="106"/>
        <v>0</v>
      </c>
      <c r="AE240">
        <f t="shared" si="109"/>
        <v>0</v>
      </c>
    </row>
    <row r="241" spans="1:31" x14ac:dyDescent="0.2">
      <c r="A241" s="347">
        <v>14371.75</v>
      </c>
      <c r="B241" s="364">
        <f t="shared" si="103"/>
        <v>14.37175</v>
      </c>
      <c r="C241" s="337">
        <f t="shared" si="84"/>
        <v>1.0360960192632238</v>
      </c>
      <c r="D241" s="338">
        <f t="shared" si="85"/>
        <v>0.2647363814440416</v>
      </c>
      <c r="E241" s="338">
        <f t="shared" si="86"/>
        <v>1.0000003602505703</v>
      </c>
      <c r="F241" s="339">
        <f t="shared" si="87"/>
        <v>8.4882325849221219E-4</v>
      </c>
      <c r="G241" s="338">
        <f t="shared" si="88"/>
        <v>1</v>
      </c>
      <c r="H241" s="339">
        <f t="shared" si="89"/>
        <v>0</v>
      </c>
      <c r="I241" s="337">
        <f t="shared" si="90"/>
        <v>156041.41608186587</v>
      </c>
      <c r="J241" s="340">
        <f t="shared" si="91"/>
        <v>1.5707899182398788</v>
      </c>
      <c r="K241" s="348">
        <f t="shared" si="107"/>
        <v>2.5811768289103494</v>
      </c>
      <c r="L241" s="349">
        <f t="shared" si="108"/>
        <v>1.1729647446627467</v>
      </c>
      <c r="M241" s="337">
        <f t="shared" si="92"/>
        <v>1.0000949541206758</v>
      </c>
      <c r="N241" s="340">
        <f t="shared" si="93"/>
        <v>1.3780174724129292E-2</v>
      </c>
      <c r="O241" s="341">
        <f t="shared" si="94"/>
        <v>1.0000481209572145</v>
      </c>
      <c r="P241" s="342">
        <f t="shared" si="95"/>
        <v>2.1700841671396166E-2</v>
      </c>
      <c r="Q241" s="343">
        <f t="shared" si="96"/>
        <v>1.485491580484587</v>
      </c>
      <c r="R241" s="344">
        <f t="shared" si="97"/>
        <v>-39.946259318017319</v>
      </c>
      <c r="S241" s="346">
        <f t="shared" si="98"/>
        <v>140.05374068198267</v>
      </c>
      <c r="U241" s="319">
        <f t="shared" si="104"/>
        <v>1000000000</v>
      </c>
      <c r="V241" s="319">
        <f t="shared" si="105"/>
        <v>206547198.0625</v>
      </c>
      <c r="X241" s="345">
        <f t="shared" si="99"/>
        <v>2.0779571771099574</v>
      </c>
      <c r="Y241" s="346">
        <f t="shared" si="100"/>
        <v>-23.583249309622314</v>
      </c>
      <c r="AA241" s="345">
        <f t="shared" si="101"/>
        <v>32.631163272307006</v>
      </c>
      <c r="AB241" s="346">
        <f t="shared" si="102"/>
        <v>-16.363010008395008</v>
      </c>
      <c r="AD241">
        <f t="shared" si="106"/>
        <v>0</v>
      </c>
      <c r="AE241">
        <f t="shared" si="109"/>
        <v>0</v>
      </c>
    </row>
    <row r="242" spans="1:31" x14ac:dyDescent="0.2">
      <c r="A242" s="347">
        <v>14454</v>
      </c>
      <c r="B242" s="364">
        <f t="shared" si="103"/>
        <v>14.454000000000001</v>
      </c>
      <c r="C242" s="337">
        <f t="shared" si="84"/>
        <v>1.0365030615015864</v>
      </c>
      <c r="D242" s="338">
        <f t="shared" si="85"/>
        <v>0.26618110446035415</v>
      </c>
      <c r="E242" s="338">
        <f t="shared" si="86"/>
        <v>1.0000003643858206</v>
      </c>
      <c r="F242" s="339">
        <f t="shared" si="87"/>
        <v>8.5368109968675724E-4</v>
      </c>
      <c r="G242" s="338">
        <f t="shared" si="88"/>
        <v>1</v>
      </c>
      <c r="H242" s="339">
        <f t="shared" si="89"/>
        <v>0</v>
      </c>
      <c r="I242" s="337">
        <f t="shared" si="90"/>
        <v>156934.4462606686</v>
      </c>
      <c r="J242" s="340">
        <f t="shared" si="91"/>
        <v>1.5707899547075452</v>
      </c>
      <c r="K242" s="348">
        <f t="shared" si="107"/>
        <v>2.5937371368714941</v>
      </c>
      <c r="L242" s="349">
        <f t="shared" si="108"/>
        <v>1.1749989085395709</v>
      </c>
      <c r="M242" s="337">
        <f t="shared" si="92"/>
        <v>1.0000960440295199</v>
      </c>
      <c r="N242" s="340">
        <f t="shared" si="93"/>
        <v>1.3859029049932949E-2</v>
      </c>
      <c r="O242" s="341">
        <f t="shared" si="94"/>
        <v>1.0000486735192824</v>
      </c>
      <c r="P242" s="342">
        <f t="shared" si="95"/>
        <v>2.18250439110593E-2</v>
      </c>
      <c r="Q242" s="343">
        <f t="shared" si="96"/>
        <v>1.4746617898993473</v>
      </c>
      <c r="R242" s="344">
        <f t="shared" si="97"/>
        <v>-39.923844884260873</v>
      </c>
      <c r="S242" s="346">
        <f t="shared" si="98"/>
        <v>140.07615511573914</v>
      </c>
      <c r="U242" s="319">
        <f t="shared" si="104"/>
        <v>1000000000</v>
      </c>
      <c r="V242" s="319">
        <f t="shared" si="105"/>
        <v>208918116</v>
      </c>
      <c r="X242" s="345">
        <f t="shared" si="99"/>
        <v>2.0705438314015492</v>
      </c>
      <c r="Y242" s="346">
        <f t="shared" si="100"/>
        <v>-23.471220414022582</v>
      </c>
      <c r="AA242" s="345">
        <f t="shared" si="101"/>
        <v>32.62774682743018</v>
      </c>
      <c r="AB242" s="346">
        <f t="shared" si="102"/>
        <v>-16.452624470238305</v>
      </c>
      <c r="AD242">
        <f t="shared" si="106"/>
        <v>0</v>
      </c>
      <c r="AE242">
        <f t="shared" si="109"/>
        <v>0</v>
      </c>
    </row>
    <row r="243" spans="1:31" x14ac:dyDescent="0.2">
      <c r="A243" s="347">
        <v>14622.5</v>
      </c>
      <c r="B243" s="364">
        <f t="shared" si="103"/>
        <v>14.6225</v>
      </c>
      <c r="C243" s="337">
        <f t="shared" si="84"/>
        <v>1.0373436890722161</v>
      </c>
      <c r="D243" s="338">
        <f t="shared" si="85"/>
        <v>0.26913725405615696</v>
      </c>
      <c r="E243" s="338">
        <f t="shared" si="86"/>
        <v>1.0000003729311207</v>
      </c>
      <c r="F243" s="339">
        <f t="shared" si="87"/>
        <v>8.6363302954586363E-4</v>
      </c>
      <c r="G243" s="338">
        <f t="shared" si="88"/>
        <v>1</v>
      </c>
      <c r="H243" s="339">
        <f t="shared" si="89"/>
        <v>0</v>
      </c>
      <c r="I243" s="337">
        <f t="shared" si="90"/>
        <v>158763.93665736535</v>
      </c>
      <c r="J243" s="340">
        <f t="shared" si="91"/>
        <v>1.5707900281352574</v>
      </c>
      <c r="K243" s="348">
        <f t="shared" si="107"/>
        <v>2.6195016131140698</v>
      </c>
      <c r="L243" s="349">
        <f t="shared" si="108"/>
        <v>1.1791052016355268</v>
      </c>
      <c r="M243" s="337">
        <f t="shared" si="92"/>
        <v>1.000098296271049</v>
      </c>
      <c r="N243" s="340">
        <f t="shared" si="93"/>
        <v>1.4020572023055171E-2</v>
      </c>
      <c r="O243" s="341">
        <f t="shared" si="94"/>
        <v>1.0000498153764548</v>
      </c>
      <c r="P243" s="342">
        <f t="shared" si="95"/>
        <v>2.2079489028161137E-2</v>
      </c>
      <c r="Q243" s="343">
        <f t="shared" si="96"/>
        <v>1.4527733928463022</v>
      </c>
      <c r="R243" s="344">
        <f t="shared" si="97"/>
        <v>-39.881214881235593</v>
      </c>
      <c r="S243" s="346">
        <f t="shared" si="98"/>
        <v>140.11878511876441</v>
      </c>
      <c r="U243" s="319">
        <f t="shared" si="104"/>
        <v>1000000000</v>
      </c>
      <c r="V243" s="319">
        <f t="shared" si="105"/>
        <v>213817506.25</v>
      </c>
      <c r="X243" s="345">
        <f t="shared" si="99"/>
        <v>2.0557068767809485</v>
      </c>
      <c r="Y243" s="346">
        <f t="shared" si="100"/>
        <v>-23.245207087590241</v>
      </c>
      <c r="AA243" s="345">
        <f t="shared" si="101"/>
        <v>32.620695384997731</v>
      </c>
      <c r="AB243" s="346">
        <f t="shared" si="102"/>
        <v>-16.636007793645366</v>
      </c>
      <c r="AD243">
        <f t="shared" si="106"/>
        <v>0</v>
      </c>
      <c r="AE243">
        <f t="shared" si="109"/>
        <v>0</v>
      </c>
    </row>
    <row r="244" spans="1:31" x14ac:dyDescent="0.2">
      <c r="A244" s="347">
        <v>14706.75</v>
      </c>
      <c r="B244" s="364">
        <f t="shared" si="103"/>
        <v>14.70675</v>
      </c>
      <c r="C244" s="337">
        <f t="shared" si="84"/>
        <v>1.0377673981540849</v>
      </c>
      <c r="D244" s="338">
        <f t="shared" si="85"/>
        <v>0.27061352646652859</v>
      </c>
      <c r="E244" s="338">
        <f t="shared" si="86"/>
        <v>1.0000003772409112</v>
      </c>
      <c r="F244" s="339">
        <f t="shared" si="87"/>
        <v>8.6860899441138872E-4</v>
      </c>
      <c r="G244" s="338">
        <f t="shared" si="88"/>
        <v>1</v>
      </c>
      <c r="H244" s="339">
        <f t="shared" si="89"/>
        <v>0</v>
      </c>
      <c r="I244" s="337">
        <f t="shared" si="90"/>
        <v>159678.68185571407</v>
      </c>
      <c r="J244" s="340">
        <f t="shared" si="91"/>
        <v>1.5707900642181494</v>
      </c>
      <c r="K244" s="348">
        <f t="shared" si="107"/>
        <v>2.632400171402927</v>
      </c>
      <c r="L244" s="349">
        <f t="shared" si="108"/>
        <v>1.1811281885557769</v>
      </c>
      <c r="M244" s="337">
        <f t="shared" si="92"/>
        <v>1.0000994321787919</v>
      </c>
      <c r="N244" s="340">
        <f t="shared" si="93"/>
        <v>1.4101343235714161E-2</v>
      </c>
      <c r="O244" s="341">
        <f t="shared" si="94"/>
        <v>1.0000503912748839</v>
      </c>
      <c r="P244" s="342">
        <f t="shared" si="95"/>
        <v>2.2206711793553401E-2</v>
      </c>
      <c r="Q244" s="343">
        <f t="shared" si="96"/>
        <v>1.4419746910618394</v>
      </c>
      <c r="R244" s="344">
        <f t="shared" si="97"/>
        <v>-39.861524589916606</v>
      </c>
      <c r="S244" s="346">
        <f t="shared" si="98"/>
        <v>140.1384754100834</v>
      </c>
      <c r="U244" s="319">
        <f t="shared" si="104"/>
        <v>1000000000</v>
      </c>
      <c r="V244" s="319">
        <f t="shared" si="105"/>
        <v>216288495.5625</v>
      </c>
      <c r="X244" s="345">
        <f t="shared" si="99"/>
        <v>2.0484602174365429</v>
      </c>
      <c r="Y244" s="346">
        <f t="shared" si="100"/>
        <v>-23.133928391911532</v>
      </c>
      <c r="AA244" s="345">
        <f t="shared" si="101"/>
        <v>32.617143342557675</v>
      </c>
      <c r="AB244" s="346">
        <f t="shared" si="102"/>
        <v>-16.727596198005077</v>
      </c>
      <c r="AD244">
        <f t="shared" si="106"/>
        <v>0</v>
      </c>
      <c r="AE244">
        <f t="shared" si="109"/>
        <v>0</v>
      </c>
    </row>
    <row r="245" spans="1:31" x14ac:dyDescent="0.2">
      <c r="A245" s="347">
        <v>14791</v>
      </c>
      <c r="B245" s="364">
        <f t="shared" si="103"/>
        <v>14.791</v>
      </c>
      <c r="C245" s="337">
        <f t="shared" si="84"/>
        <v>1.0381933670767416</v>
      </c>
      <c r="D245" s="338">
        <f t="shared" si="85"/>
        <v>0.27208859066545737</v>
      </c>
      <c r="E245" s="338">
        <f t="shared" si="86"/>
        <v>1.0000003815754619</v>
      </c>
      <c r="F245" s="339">
        <f t="shared" si="87"/>
        <v>8.7358495923390005E-4</v>
      </c>
      <c r="G245" s="338">
        <f t="shared" si="88"/>
        <v>1</v>
      </c>
      <c r="H245" s="339">
        <f t="shared" si="89"/>
        <v>0</v>
      </c>
      <c r="I245" s="337">
        <f t="shared" si="90"/>
        <v>160593.42705406298</v>
      </c>
      <c r="J245" s="340">
        <f t="shared" si="91"/>
        <v>1.5707900998899831</v>
      </c>
      <c r="K245" s="348">
        <f t="shared" si="107"/>
        <v>2.6453093976420683</v>
      </c>
      <c r="L245" s="349">
        <f t="shared" si="108"/>
        <v>1.1831314390774155</v>
      </c>
      <c r="M245" s="337">
        <f t="shared" si="92"/>
        <v>1.0001005746111575</v>
      </c>
      <c r="N245" s="340">
        <f t="shared" si="93"/>
        <v>1.4182114264367362E-2</v>
      </c>
      <c r="O245" s="341">
        <f t="shared" si="94"/>
        <v>1.0000509704866494</v>
      </c>
      <c r="P245" s="342">
        <f t="shared" si="95"/>
        <v>2.2333934697899141E-2</v>
      </c>
      <c r="Q245" s="343">
        <f t="shared" si="96"/>
        <v>1.4312699840006935</v>
      </c>
      <c r="R245" s="344">
        <f t="shared" si="97"/>
        <v>-39.842895859394879</v>
      </c>
      <c r="S245" s="346">
        <f t="shared" si="98"/>
        <v>140.15710414060513</v>
      </c>
      <c r="U245" s="319">
        <f t="shared" si="104"/>
        <v>1000000000</v>
      </c>
      <c r="V245" s="319">
        <f t="shared" si="105"/>
        <v>218773681</v>
      </c>
      <c r="X245" s="345">
        <f t="shared" si="99"/>
        <v>2.0413250400785037</v>
      </c>
      <c r="Y245" s="346">
        <f t="shared" si="100"/>
        <v>-23.023780474482681</v>
      </c>
      <c r="AA245" s="345">
        <f t="shared" si="101"/>
        <v>32.613573812854568</v>
      </c>
      <c r="AB245" s="346">
        <f t="shared" si="102"/>
        <v>-16.819115384912191</v>
      </c>
      <c r="AD245">
        <f t="shared" si="106"/>
        <v>0</v>
      </c>
      <c r="AE245">
        <f t="shared" si="109"/>
        <v>0</v>
      </c>
    </row>
    <row r="246" spans="1:31" x14ac:dyDescent="0.2">
      <c r="A246" s="347">
        <v>14877.25</v>
      </c>
      <c r="B246" s="364">
        <f t="shared" si="103"/>
        <v>14.87725</v>
      </c>
      <c r="C246" s="337">
        <f t="shared" si="84"/>
        <v>1.0386317860648204</v>
      </c>
      <c r="D246" s="338">
        <f t="shared" si="85"/>
        <v>0.27359741450545028</v>
      </c>
      <c r="E246" s="338">
        <f t="shared" si="86"/>
        <v>1.0000003860385587</v>
      </c>
      <c r="F246" s="339">
        <f t="shared" si="87"/>
        <v>8.7867904780560252E-4</v>
      </c>
      <c r="G246" s="338">
        <f t="shared" si="88"/>
        <v>1</v>
      </c>
      <c r="H246" s="339">
        <f t="shared" si="89"/>
        <v>0</v>
      </c>
      <c r="I246" s="337">
        <f t="shared" si="90"/>
        <v>161529.88727195744</v>
      </c>
      <c r="J246" s="340">
        <f t="shared" si="91"/>
        <v>1.5707901359901058</v>
      </c>
      <c r="K246" s="348">
        <f t="shared" si="107"/>
        <v>2.6585359629243173</v>
      </c>
      <c r="L246" s="349">
        <f t="shared" si="108"/>
        <v>1.1851620832893393</v>
      </c>
      <c r="M246" s="337">
        <f t="shared" si="92"/>
        <v>1.0001017509223478</v>
      </c>
      <c r="N246" s="340">
        <f t="shared" si="93"/>
        <v>1.4264802514454201E-2</v>
      </c>
      <c r="O246" s="341">
        <f t="shared" si="94"/>
        <v>1.0000515668805858</v>
      </c>
      <c r="P246" s="342">
        <f t="shared" si="95"/>
        <v>2.2464177875307901E-2</v>
      </c>
      <c r="Q246" s="343">
        <f t="shared" si="96"/>
        <v>1.4204062493929337</v>
      </c>
      <c r="R246" s="344">
        <f t="shared" si="97"/>
        <v>-39.824908025128963</v>
      </c>
      <c r="S246" s="346">
        <f t="shared" si="98"/>
        <v>140.17509197487104</v>
      </c>
      <c r="U246" s="319">
        <f t="shared" si="104"/>
        <v>1000000000</v>
      </c>
      <c r="V246" s="319">
        <f t="shared" si="105"/>
        <v>221332567.5625</v>
      </c>
      <c r="X246" s="345">
        <f t="shared" si="99"/>
        <v>2.0341336393336689</v>
      </c>
      <c r="Y246" s="346">
        <f t="shared" si="100"/>
        <v>-22.912172887449216</v>
      </c>
      <c r="AA246" s="345">
        <f t="shared" si="101"/>
        <v>32.609901478991645</v>
      </c>
      <c r="AB246" s="346">
        <f t="shared" si="102"/>
        <v>-16.912735137679757</v>
      </c>
      <c r="AD246">
        <f t="shared" si="106"/>
        <v>0</v>
      </c>
      <c r="AE246">
        <f t="shared" si="109"/>
        <v>0</v>
      </c>
    </row>
    <row r="247" spans="1:31" x14ac:dyDescent="0.2">
      <c r="A247" s="347">
        <v>14963.5</v>
      </c>
      <c r="B247" s="364">
        <f t="shared" si="103"/>
        <v>14.9635</v>
      </c>
      <c r="C247" s="337">
        <f t="shared" si="84"/>
        <v>1.0390725675509915</v>
      </c>
      <c r="D247" s="338">
        <f t="shared" si="85"/>
        <v>0.27510496166883508</v>
      </c>
      <c r="E247" s="338">
        <f t="shared" si="86"/>
        <v>1.0000003905276054</v>
      </c>
      <c r="F247" s="339">
        <f t="shared" si="87"/>
        <v>8.8377313633170203E-4</v>
      </c>
      <c r="G247" s="338">
        <f t="shared" si="88"/>
        <v>1</v>
      </c>
      <c r="H247" s="339">
        <f t="shared" si="89"/>
        <v>0</v>
      </c>
      <c r="I247" s="337">
        <f t="shared" si="90"/>
        <v>162466.34748985217</v>
      </c>
      <c r="J247" s="340">
        <f t="shared" si="91"/>
        <v>1.5707901716740642</v>
      </c>
      <c r="K247" s="348">
        <f t="shared" si="107"/>
        <v>2.6717733821562399</v>
      </c>
      <c r="L247" s="349">
        <f t="shared" si="108"/>
        <v>1.1871726138905401</v>
      </c>
      <c r="M247" s="337">
        <f t="shared" si="92"/>
        <v>1.0001029340715641</v>
      </c>
      <c r="N247" s="340">
        <f t="shared" si="93"/>
        <v>1.4347490569461469E-2</v>
      </c>
      <c r="O247" s="341">
        <f t="shared" si="94"/>
        <v>1.0000521667472086</v>
      </c>
      <c r="P247" s="342">
        <f t="shared" si="95"/>
        <v>2.2594421200030489E-2</v>
      </c>
      <c r="Q247" s="343">
        <f t="shared" si="96"/>
        <v>1.4096364558038026</v>
      </c>
      <c r="R247" s="344">
        <f t="shared" si="97"/>
        <v>-39.807999441109409</v>
      </c>
      <c r="S247" s="346">
        <f t="shared" si="98"/>
        <v>140.19200055889058</v>
      </c>
      <c r="U247" s="319">
        <f t="shared" si="104"/>
        <v>1000000000</v>
      </c>
      <c r="V247" s="319">
        <f t="shared" si="105"/>
        <v>223906332.25</v>
      </c>
      <c r="X247" s="345">
        <f t="shared" si="99"/>
        <v>2.0270544106864432</v>
      </c>
      <c r="Y247" s="346">
        <f t="shared" si="100"/>
        <v>-22.801717690400562</v>
      </c>
      <c r="AA247" s="345">
        <f t="shared" si="101"/>
        <v>32.60621091404974</v>
      </c>
      <c r="AB247" s="346">
        <f t="shared" si="102"/>
        <v>-17.006281750708858</v>
      </c>
      <c r="AD247">
        <f t="shared" si="106"/>
        <v>0</v>
      </c>
      <c r="AE247">
        <f t="shared" si="109"/>
        <v>0</v>
      </c>
    </row>
    <row r="248" spans="1:31" x14ac:dyDescent="0.2">
      <c r="A248" s="347">
        <v>15049.75</v>
      </c>
      <c r="B248" s="364">
        <f t="shared" si="103"/>
        <v>15.04975</v>
      </c>
      <c r="C248" s="337">
        <f t="shared" si="84"/>
        <v>1.0395157085299742</v>
      </c>
      <c r="D248" s="338">
        <f t="shared" si="85"/>
        <v>0.27661122693161727</v>
      </c>
      <c r="E248" s="338">
        <f t="shared" si="86"/>
        <v>1.0000003950426017</v>
      </c>
      <c r="F248" s="339">
        <f t="shared" si="87"/>
        <v>8.8886722481193415E-4</v>
      </c>
      <c r="G248" s="338">
        <f t="shared" si="88"/>
        <v>1</v>
      </c>
      <c r="H248" s="339">
        <f t="shared" si="89"/>
        <v>0</v>
      </c>
      <c r="I248" s="337">
        <f t="shared" si="90"/>
        <v>163402.80770774707</v>
      </c>
      <c r="J248" s="340">
        <f t="shared" si="91"/>
        <v>1.5707902069490136</v>
      </c>
      <c r="K248" s="348">
        <f t="shared" si="107"/>
        <v>2.6850214948047317</v>
      </c>
      <c r="L248" s="349">
        <f t="shared" si="108"/>
        <v>1.1891633122322489</v>
      </c>
      <c r="M248" s="337">
        <f t="shared" si="92"/>
        <v>1.0001041240587827</v>
      </c>
      <c r="N248" s="340">
        <f t="shared" si="93"/>
        <v>1.4430178428259128E-2</v>
      </c>
      <c r="O248" s="341">
        <f t="shared" si="94"/>
        <v>1.0000527700866058</v>
      </c>
      <c r="P248" s="342">
        <f t="shared" si="95"/>
        <v>2.2724664672919177E-2</v>
      </c>
      <c r="Q248" s="343">
        <f t="shared" si="96"/>
        <v>1.398958378513413</v>
      </c>
      <c r="R248" s="344">
        <f t="shared" si="97"/>
        <v>-39.792153688179361</v>
      </c>
      <c r="S248" s="346">
        <f t="shared" si="98"/>
        <v>140.20784631182065</v>
      </c>
      <c r="U248" s="319">
        <f t="shared" si="104"/>
        <v>1000000000</v>
      </c>
      <c r="V248" s="319">
        <f t="shared" si="105"/>
        <v>226494975.0625</v>
      </c>
      <c r="X248" s="345">
        <f t="shared" si="99"/>
        <v>2.0200850804900585</v>
      </c>
      <c r="Y248" s="346">
        <f t="shared" si="100"/>
        <v>-22.692398763443851</v>
      </c>
      <c r="AA248" s="345">
        <f t="shared" si="101"/>
        <v>32.602502166955738</v>
      </c>
      <c r="AB248" s="346">
        <f t="shared" si="102"/>
        <v>-17.099754924735517</v>
      </c>
      <c r="AD248">
        <f t="shared" si="106"/>
        <v>0</v>
      </c>
      <c r="AE248">
        <f t="shared" si="109"/>
        <v>0</v>
      </c>
    </row>
    <row r="249" spans="1:31" x14ac:dyDescent="0.2">
      <c r="A249" s="347">
        <v>15136</v>
      </c>
      <c r="B249" s="364">
        <f t="shared" si="103"/>
        <v>15.135999999999999</v>
      </c>
      <c r="C249" s="337">
        <f t="shared" si="84"/>
        <v>1.0399612059855368</v>
      </c>
      <c r="D249" s="338">
        <f t="shared" si="85"/>
        <v>0.27811620510194984</v>
      </c>
      <c r="E249" s="338">
        <f t="shared" si="86"/>
        <v>1.0000003995835478</v>
      </c>
      <c r="F249" s="339">
        <f t="shared" si="87"/>
        <v>8.9396131324603445E-4</v>
      </c>
      <c r="G249" s="338">
        <f t="shared" si="88"/>
        <v>1</v>
      </c>
      <c r="H249" s="339">
        <f t="shared" si="89"/>
        <v>0</v>
      </c>
      <c r="I249" s="337">
        <f t="shared" si="90"/>
        <v>164339.26792564217</v>
      </c>
      <c r="J249" s="340">
        <f t="shared" si="91"/>
        <v>1.5707902418219464</v>
      </c>
      <c r="K249" s="348">
        <f t="shared" si="107"/>
        <v>2.6982801433610382</v>
      </c>
      <c r="L249" s="349">
        <f t="shared" si="108"/>
        <v>1.1911344547712057</v>
      </c>
      <c r="M249" s="337">
        <f t="shared" si="92"/>
        <v>1.0001053208839787</v>
      </c>
      <c r="N249" s="340">
        <f t="shared" si="93"/>
        <v>1.4512866089717164E-2</v>
      </c>
      <c r="O249" s="341">
        <f t="shared" si="94"/>
        <v>1.000053376898866</v>
      </c>
      <c r="P249" s="342">
        <f t="shared" si="95"/>
        <v>2.2854908294826191E-2</v>
      </c>
      <c r="Q249" s="343">
        <f t="shared" si="96"/>
        <v>1.3883698489357466</v>
      </c>
      <c r="R249" s="344">
        <f t="shared" si="97"/>
        <v>-39.777354629448162</v>
      </c>
      <c r="S249" s="346">
        <f t="shared" si="98"/>
        <v>140.22264537055185</v>
      </c>
      <c r="U249" s="319">
        <f t="shared" si="104"/>
        <v>1000000000</v>
      </c>
      <c r="V249" s="319">
        <f t="shared" si="105"/>
        <v>229098496</v>
      </c>
      <c r="X249" s="345">
        <f t="shared" si="99"/>
        <v>2.013223431089652</v>
      </c>
      <c r="Y249" s="346">
        <f t="shared" si="100"/>
        <v>-22.584200267110504</v>
      </c>
      <c r="AA249" s="345">
        <f t="shared" si="101"/>
        <v>32.598775286778469</v>
      </c>
      <c r="AB249" s="346">
        <f t="shared" si="102"/>
        <v>-17.193154362337648</v>
      </c>
      <c r="AD249">
        <f t="shared" si="106"/>
        <v>0</v>
      </c>
      <c r="AE249">
        <f t="shared" si="109"/>
        <v>0</v>
      </c>
    </row>
    <row r="250" spans="1:31" x14ac:dyDescent="0.2">
      <c r="A250" s="347">
        <v>15224</v>
      </c>
      <c r="B250" s="364">
        <f t="shared" si="103"/>
        <v>15.224</v>
      </c>
      <c r="C250" s="337">
        <f t="shared" si="84"/>
        <v>1.0404181680593951</v>
      </c>
      <c r="D250" s="338">
        <f t="shared" si="85"/>
        <v>0.27965038717793578</v>
      </c>
      <c r="E250" s="338">
        <f t="shared" si="86"/>
        <v>1.0000004042433741</v>
      </c>
      <c r="F250" s="339">
        <f t="shared" si="87"/>
        <v>8.9915875994836937E-4</v>
      </c>
      <c r="G250" s="338">
        <f t="shared" si="88"/>
        <v>1</v>
      </c>
      <c r="H250" s="339">
        <f t="shared" si="89"/>
        <v>0</v>
      </c>
      <c r="I250" s="337">
        <f t="shared" si="90"/>
        <v>165294.72878563969</v>
      </c>
      <c r="J250" s="340">
        <f t="shared" si="91"/>
        <v>1.5707902769952002</v>
      </c>
      <c r="K250" s="348">
        <f t="shared" si="107"/>
        <v>2.7118185063598634</v>
      </c>
      <c r="L250" s="349">
        <f t="shared" si="108"/>
        <v>1.1931257183541588</v>
      </c>
      <c r="M250" s="337">
        <f t="shared" si="92"/>
        <v>1.0001065490400567</v>
      </c>
      <c r="N250" s="340">
        <f t="shared" si="93"/>
        <v>1.4597231267283727E-2</v>
      </c>
      <c r="O250" s="341">
        <f t="shared" si="94"/>
        <v>1.0000539996026254</v>
      </c>
      <c r="P250" s="342">
        <f t="shared" si="95"/>
        <v>2.2987794695414409E-2</v>
      </c>
      <c r="Q250" s="343">
        <f t="shared" si="96"/>
        <v>1.3776565778423926</v>
      </c>
      <c r="R250" s="344">
        <f t="shared" si="97"/>
        <v>-39.763317610228953</v>
      </c>
      <c r="S250" s="346">
        <f t="shared" si="98"/>
        <v>140.23668238977103</v>
      </c>
      <c r="U250" s="319">
        <f t="shared" si="104"/>
        <v>1000000000</v>
      </c>
      <c r="V250" s="319">
        <f t="shared" si="105"/>
        <v>231770176</v>
      </c>
      <c r="X250" s="345">
        <f t="shared" si="99"/>
        <v>2.0063312956640105</v>
      </c>
      <c r="Y250" s="346">
        <f t="shared" si="100"/>
        <v>-22.474945051675785</v>
      </c>
      <c r="AA250" s="345">
        <f t="shared" si="101"/>
        <v>32.594954151110763</v>
      </c>
      <c r="AB250" s="346">
        <f t="shared" si="102"/>
        <v>-17.288372558553164</v>
      </c>
      <c r="AD250">
        <f t="shared" si="106"/>
        <v>0</v>
      </c>
      <c r="AE250">
        <f t="shared" si="109"/>
        <v>0</v>
      </c>
    </row>
    <row r="251" spans="1:31" x14ac:dyDescent="0.2">
      <c r="A251" s="347">
        <v>15312</v>
      </c>
      <c r="B251" s="364">
        <f t="shared" si="103"/>
        <v>15.311999999999999</v>
      </c>
      <c r="C251" s="337">
        <f t="shared" si="84"/>
        <v>1.0408775768272021</v>
      </c>
      <c r="D251" s="338">
        <f t="shared" si="85"/>
        <v>0.28118321858516571</v>
      </c>
      <c r="E251" s="338">
        <f t="shared" si="86"/>
        <v>1.0000004089302135</v>
      </c>
      <c r="F251" s="339">
        <f t="shared" si="87"/>
        <v>9.0435620660212564E-4</v>
      </c>
      <c r="G251" s="338">
        <f t="shared" si="88"/>
        <v>1</v>
      </c>
      <c r="H251" s="339">
        <f t="shared" si="89"/>
        <v>0</v>
      </c>
      <c r="I251" s="337">
        <f t="shared" si="90"/>
        <v>166250.18964563741</v>
      </c>
      <c r="J251" s="340">
        <f t="shared" si="91"/>
        <v>1.5707903117641642</v>
      </c>
      <c r="K251" s="348">
        <f t="shared" si="107"/>
        <v>2.7253675152196482</v>
      </c>
      <c r="L251" s="349">
        <f t="shared" si="108"/>
        <v>1.195097190783416</v>
      </c>
      <c r="M251" s="337">
        <f t="shared" si="92"/>
        <v>1.0001077843143589</v>
      </c>
      <c r="N251" s="340">
        <f t="shared" si="93"/>
        <v>1.4681596237044948E-2</v>
      </c>
      <c r="O251" s="341">
        <f t="shared" si="94"/>
        <v>1.0000546259217939</v>
      </c>
      <c r="P251" s="342">
        <f t="shared" si="95"/>
        <v>2.312068125292167E-2</v>
      </c>
      <c r="Q251" s="343">
        <f t="shared" si="96"/>
        <v>1.3670321360468882</v>
      </c>
      <c r="R251" s="344">
        <f t="shared" si="97"/>
        <v>-39.750337126893292</v>
      </c>
      <c r="S251" s="346">
        <f t="shared" si="98"/>
        <v>140.2496628731067</v>
      </c>
      <c r="U251" s="319">
        <f t="shared" si="104"/>
        <v>1000000000</v>
      </c>
      <c r="V251" s="319">
        <f t="shared" si="105"/>
        <v>234457344</v>
      </c>
      <c r="X251" s="345">
        <f t="shared" si="99"/>
        <v>1.9995467622796506</v>
      </c>
      <c r="Y251" s="346">
        <f t="shared" si="100"/>
        <v>-22.36682375075036</v>
      </c>
      <c r="AA251" s="345">
        <f t="shared" si="101"/>
        <v>32.591114242699618</v>
      </c>
      <c r="AB251" s="346">
        <f t="shared" si="102"/>
        <v>-17.383513376142936</v>
      </c>
      <c r="AD251">
        <f t="shared" si="106"/>
        <v>0</v>
      </c>
      <c r="AE251">
        <f t="shared" si="109"/>
        <v>0</v>
      </c>
    </row>
    <row r="252" spans="1:31" x14ac:dyDescent="0.2">
      <c r="A252" s="347">
        <v>15400</v>
      </c>
      <c r="B252" s="364">
        <f t="shared" si="103"/>
        <v>15.4</v>
      </c>
      <c r="C252" s="337">
        <f t="shared" si="84"/>
        <v>1.0413394290507263</v>
      </c>
      <c r="D252" s="338">
        <f t="shared" si="85"/>
        <v>0.28271469391305509</v>
      </c>
      <c r="E252" s="338">
        <f t="shared" si="86"/>
        <v>1.0000004136440666</v>
      </c>
      <c r="F252" s="339">
        <f t="shared" si="87"/>
        <v>9.0955365320702223E-4</v>
      </c>
      <c r="G252" s="338">
        <f t="shared" si="88"/>
        <v>1</v>
      </c>
      <c r="H252" s="339">
        <f t="shared" si="89"/>
        <v>0</v>
      </c>
      <c r="I252" s="337">
        <f t="shared" si="90"/>
        <v>167205.65050563536</v>
      </c>
      <c r="J252" s="340">
        <f t="shared" si="91"/>
        <v>1.5707903461357682</v>
      </c>
      <c r="K252" s="348">
        <f t="shared" si="107"/>
        <v>2.7389270119505733</v>
      </c>
      <c r="L252" s="349">
        <f t="shared" si="108"/>
        <v>1.1970491505570413</v>
      </c>
      <c r="M252" s="337">
        <f t="shared" si="92"/>
        <v>1.0001090267068584</v>
      </c>
      <c r="N252" s="340">
        <f t="shared" si="93"/>
        <v>1.4765960997800672E-2</v>
      </c>
      <c r="O252" s="341">
        <f t="shared" si="94"/>
        <v>1.0000552558564673</v>
      </c>
      <c r="P252" s="342">
        <f t="shared" si="95"/>
        <v>2.3253567968253033E-2</v>
      </c>
      <c r="Q252" s="343">
        <f t="shared" si="96"/>
        <v>1.3564943907111291</v>
      </c>
      <c r="R252" s="344">
        <f t="shared" si="97"/>
        <v>-39.738396913053997</v>
      </c>
      <c r="S252" s="346">
        <f t="shared" si="98"/>
        <v>140.261603086946</v>
      </c>
      <c r="U252" s="319">
        <f t="shared" si="104"/>
        <v>1000000000</v>
      </c>
      <c r="V252" s="319">
        <f t="shared" si="105"/>
        <v>237160000</v>
      </c>
      <c r="X252" s="345">
        <f t="shared" si="99"/>
        <v>1.9928676455373362</v>
      </c>
      <c r="Y252" s="346">
        <f t="shared" si="100"/>
        <v>-22.259820407898818</v>
      </c>
      <c r="AA252" s="345">
        <f t="shared" si="101"/>
        <v>32.587255614106169</v>
      </c>
      <c r="AB252" s="346">
        <f t="shared" si="102"/>
        <v>-17.478576505155178</v>
      </c>
      <c r="AD252">
        <f t="shared" si="106"/>
        <v>0</v>
      </c>
      <c r="AE252">
        <f t="shared" si="109"/>
        <v>0</v>
      </c>
    </row>
    <row r="253" spans="1:31" x14ac:dyDescent="0.2">
      <c r="A253" s="347">
        <v>15488</v>
      </c>
      <c r="B253" s="364">
        <f t="shared" si="103"/>
        <v>15.488</v>
      </c>
      <c r="C253" s="337">
        <f t="shared" si="84"/>
        <v>1.0418037214802705</v>
      </c>
      <c r="D253" s="338">
        <f t="shared" si="85"/>
        <v>0.28424480778603278</v>
      </c>
      <c r="E253" s="338">
        <f t="shared" si="86"/>
        <v>1.0000004183849331</v>
      </c>
      <c r="F253" s="339">
        <f t="shared" si="87"/>
        <v>9.1475109976277844E-4</v>
      </c>
      <c r="G253" s="338">
        <f t="shared" si="88"/>
        <v>1</v>
      </c>
      <c r="H253" s="339">
        <f t="shared" si="89"/>
        <v>0</v>
      </c>
      <c r="I253" s="337">
        <f t="shared" si="90"/>
        <v>168161.11136563346</v>
      </c>
      <c r="J253" s="340">
        <f t="shared" si="91"/>
        <v>1.570790380116786</v>
      </c>
      <c r="K253" s="348">
        <f t="shared" si="107"/>
        <v>2.7524968415549136</v>
      </c>
      <c r="L253" s="349">
        <f t="shared" si="108"/>
        <v>1.198981871282266</v>
      </c>
      <c r="M253" s="337">
        <f t="shared" si="92"/>
        <v>1.0001102762175291</v>
      </c>
      <c r="N253" s="340">
        <f t="shared" si="93"/>
        <v>1.4850325548350758E-2</v>
      </c>
      <c r="O253" s="341">
        <f t="shared" si="94"/>
        <v>1.0000558894067419</v>
      </c>
      <c r="P253" s="342">
        <f t="shared" si="95"/>
        <v>2.3386454842313529E-2</v>
      </c>
      <c r="Q253" s="343">
        <f t="shared" si="96"/>
        <v>1.3460412631132921</v>
      </c>
      <c r="R253" s="344">
        <f t="shared" si="97"/>
        <v>-39.727480984545132</v>
      </c>
      <c r="S253" s="346">
        <f t="shared" si="98"/>
        <v>140.27251901545486</v>
      </c>
      <c r="U253" s="319">
        <f t="shared" si="104"/>
        <v>1000000000</v>
      </c>
      <c r="V253" s="319">
        <f t="shared" si="105"/>
        <v>239878144</v>
      </c>
      <c r="X253" s="345">
        <f t="shared" si="99"/>
        <v>1.9862918140086963</v>
      </c>
      <c r="Y253" s="346">
        <f t="shared" si="100"/>
        <v>-22.153919346900917</v>
      </c>
      <c r="AA253" s="345">
        <f t="shared" si="101"/>
        <v>32.583378318036978</v>
      </c>
      <c r="AB253" s="346">
        <f t="shared" si="102"/>
        <v>-17.573561637644215</v>
      </c>
      <c r="AD253">
        <f t="shared" si="106"/>
        <v>0</v>
      </c>
      <c r="AE253">
        <f t="shared" si="109"/>
        <v>0</v>
      </c>
    </row>
    <row r="254" spans="1:31" x14ac:dyDescent="0.2">
      <c r="A254" s="347">
        <v>15578.25</v>
      </c>
      <c r="B254" s="364">
        <f t="shared" si="103"/>
        <v>15.578250000000001</v>
      </c>
      <c r="C254" s="337">
        <f t="shared" si="84"/>
        <v>1.0422824161980178</v>
      </c>
      <c r="D254" s="338">
        <f t="shared" si="85"/>
        <v>0.28581262417977621</v>
      </c>
      <c r="E254" s="338">
        <f t="shared" si="86"/>
        <v>1.0000004232750734</v>
      </c>
      <c r="F254" s="339">
        <f t="shared" si="87"/>
        <v>9.2008143552572736E-4</v>
      </c>
      <c r="G254" s="338">
        <f t="shared" si="88"/>
        <v>1</v>
      </c>
      <c r="H254" s="339">
        <f t="shared" si="89"/>
        <v>0</v>
      </c>
      <c r="I254" s="337">
        <f t="shared" si="90"/>
        <v>169141.00162262039</v>
      </c>
      <c r="J254" s="340">
        <f t="shared" si="91"/>
        <v>1.5707904145678764</v>
      </c>
      <c r="K254" s="348">
        <f t="shared" si="107"/>
        <v>2.7664242002877013</v>
      </c>
      <c r="L254" s="349">
        <f t="shared" si="108"/>
        <v>1.2009443065250374</v>
      </c>
      <c r="M254" s="337">
        <f t="shared" si="92"/>
        <v>1.0001115650693839</v>
      </c>
      <c r="N254" s="340">
        <f t="shared" si="93"/>
        <v>1.4936846927474949E-2</v>
      </c>
      <c r="O254" s="341">
        <f t="shared" si="94"/>
        <v>1.0000565429112964</v>
      </c>
      <c r="P254" s="342">
        <f t="shared" si="95"/>
        <v>2.3522739557947918E-2</v>
      </c>
      <c r="Q254" s="343">
        <f t="shared" si="96"/>
        <v>1.3354066366000408</v>
      </c>
      <c r="R254" s="344">
        <f t="shared" si="97"/>
        <v>-39.717333407006855</v>
      </c>
      <c r="S254" s="346">
        <f t="shared" si="98"/>
        <v>140.28266659299314</v>
      </c>
      <c r="U254" s="319">
        <f t="shared" si="104"/>
        <v>1000000000</v>
      </c>
      <c r="V254" s="319">
        <f t="shared" si="105"/>
        <v>242681873.0625</v>
      </c>
      <c r="X254" s="345">
        <f t="shared" si="99"/>
        <v>1.9796529531302895</v>
      </c>
      <c r="Y254" s="346">
        <f t="shared" si="100"/>
        <v>-22.046439373563118</v>
      </c>
      <c r="AA254" s="345">
        <f t="shared" si="101"/>
        <v>32.57938255240213</v>
      </c>
      <c r="AB254" s="346">
        <f t="shared" si="102"/>
        <v>-17.670894033443737</v>
      </c>
      <c r="AD254">
        <f t="shared" si="106"/>
        <v>0</v>
      </c>
      <c r="AE254">
        <f t="shared" si="109"/>
        <v>0</v>
      </c>
    </row>
    <row r="255" spans="1:31" x14ac:dyDescent="0.2">
      <c r="A255" s="347">
        <v>15668.5</v>
      </c>
      <c r="B255" s="364">
        <f t="shared" si="103"/>
        <v>15.6685</v>
      </c>
      <c r="C255" s="337">
        <f t="shared" si="84"/>
        <v>1.0427636705403336</v>
      </c>
      <c r="D255" s="338">
        <f t="shared" si="85"/>
        <v>0.28737899726939681</v>
      </c>
      <c r="E255" s="338">
        <f t="shared" si="86"/>
        <v>1.0000004281936259</v>
      </c>
      <c r="F255" s="339">
        <f t="shared" si="87"/>
        <v>9.2541177123639257E-4</v>
      </c>
      <c r="G255" s="338">
        <f t="shared" si="88"/>
        <v>1</v>
      </c>
      <c r="H255" s="339">
        <f t="shared" si="89"/>
        <v>0</v>
      </c>
      <c r="I255" s="337">
        <f t="shared" si="90"/>
        <v>170120.89187960749</v>
      </c>
      <c r="J255" s="340">
        <f t="shared" si="91"/>
        <v>1.5707904486220927</v>
      </c>
      <c r="K255" s="348">
        <f t="shared" si="107"/>
        <v>2.7803621061820158</v>
      </c>
      <c r="L255" s="349">
        <f t="shared" si="108"/>
        <v>1.2028870738812489</v>
      </c>
      <c r="M255" s="337">
        <f t="shared" si="92"/>
        <v>1.0001128614080035</v>
      </c>
      <c r="N255" s="340">
        <f t="shared" si="93"/>
        <v>1.502336808295014E-2</v>
      </c>
      <c r="O255" s="341">
        <f t="shared" si="94"/>
        <v>1.0000572002189121</v>
      </c>
      <c r="P255" s="342">
        <f t="shared" si="95"/>
        <v>2.3659024442460069E-2</v>
      </c>
      <c r="Q255" s="343">
        <f t="shared" si="96"/>
        <v>1.3248567494783225</v>
      </c>
      <c r="R255" s="344">
        <f t="shared" si="97"/>
        <v>-39.708229995252438</v>
      </c>
      <c r="S255" s="346">
        <f t="shared" si="98"/>
        <v>140.29177000474755</v>
      </c>
      <c r="U255" s="319">
        <f t="shared" si="104"/>
        <v>1000000000</v>
      </c>
      <c r="V255" s="319">
        <f t="shared" si="105"/>
        <v>245501892.25</v>
      </c>
      <c r="X255" s="345">
        <f t="shared" si="99"/>
        <v>1.9731183531594823</v>
      </c>
      <c r="Y255" s="346">
        <f t="shared" si="100"/>
        <v>-21.940086251565077</v>
      </c>
      <c r="AA255" s="345">
        <f t="shared" si="101"/>
        <v>32.575367265251224</v>
      </c>
      <c r="AB255" s="346">
        <f t="shared" si="102"/>
        <v>-17.768143743687357</v>
      </c>
      <c r="AD255">
        <f t="shared" si="106"/>
        <v>0</v>
      </c>
      <c r="AE255">
        <f t="shared" si="109"/>
        <v>0</v>
      </c>
    </row>
    <row r="256" spans="1:31" x14ac:dyDescent="0.2">
      <c r="A256" s="347">
        <v>15758.75</v>
      </c>
      <c r="B256" s="364">
        <f t="shared" si="103"/>
        <v>15.758749999999999</v>
      </c>
      <c r="C256" s="337">
        <f t="shared" si="84"/>
        <v>1.0432474809649217</v>
      </c>
      <c r="D256" s="338">
        <f t="shared" si="85"/>
        <v>0.28894392137136787</v>
      </c>
      <c r="E256" s="338">
        <f t="shared" si="86"/>
        <v>1.0000004331405912</v>
      </c>
      <c r="F256" s="339">
        <f t="shared" si="87"/>
        <v>9.3074210689447138E-4</v>
      </c>
      <c r="G256" s="338">
        <f t="shared" si="88"/>
        <v>1</v>
      </c>
      <c r="H256" s="339">
        <f t="shared" si="89"/>
        <v>0</v>
      </c>
      <c r="I256" s="337">
        <f t="shared" si="90"/>
        <v>171100.78213659482</v>
      </c>
      <c r="J256" s="340">
        <f t="shared" si="91"/>
        <v>1.5707904822862537</v>
      </c>
      <c r="K256" s="348">
        <f t="shared" si="107"/>
        <v>2.7943104014114319</v>
      </c>
      <c r="L256" s="349">
        <f t="shared" si="108"/>
        <v>1.2048104531020736</v>
      </c>
      <c r="M256" s="337">
        <f t="shared" si="92"/>
        <v>1.0001141652333589</v>
      </c>
      <c r="N256" s="340">
        <f t="shared" si="93"/>
        <v>1.5109889013481816E-2</v>
      </c>
      <c r="O256" s="341">
        <f t="shared" si="94"/>
        <v>1.0000578613296947</v>
      </c>
      <c r="P256" s="342">
        <f t="shared" si="95"/>
        <v>2.3795309496826133E-2</v>
      </c>
      <c r="Q256" s="343">
        <f t="shared" si="96"/>
        <v>1.3143895267288916</v>
      </c>
      <c r="R256" s="344">
        <f t="shared" si="97"/>
        <v>-39.700154395450674</v>
      </c>
      <c r="S256" s="346">
        <f t="shared" si="98"/>
        <v>140.29984560454932</v>
      </c>
      <c r="U256" s="319">
        <f t="shared" si="104"/>
        <v>1000000000</v>
      </c>
      <c r="V256" s="319">
        <f t="shared" si="105"/>
        <v>248338201.5625</v>
      </c>
      <c r="X256" s="345">
        <f t="shared" si="99"/>
        <v>1.9666858817607737</v>
      </c>
      <c r="Y256" s="346">
        <f t="shared" si="100"/>
        <v>-21.83484395266176</v>
      </c>
      <c r="AA256" s="345">
        <f t="shared" si="101"/>
        <v>32.571332513900501</v>
      </c>
      <c r="AB256" s="346">
        <f t="shared" si="102"/>
        <v>-17.865310442788918</v>
      </c>
      <c r="AD256">
        <f t="shared" si="106"/>
        <v>0</v>
      </c>
      <c r="AE256">
        <f t="shared" si="109"/>
        <v>0</v>
      </c>
    </row>
    <row r="257" spans="1:31" x14ac:dyDescent="0.2">
      <c r="A257" s="347">
        <v>15849</v>
      </c>
      <c r="B257" s="364">
        <f t="shared" si="103"/>
        <v>15.849</v>
      </c>
      <c r="C257" s="337">
        <f t="shared" si="84"/>
        <v>1.0437338439172579</v>
      </c>
      <c r="D257" s="338">
        <f t="shared" si="85"/>
        <v>0.29050739084106164</v>
      </c>
      <c r="E257" s="338">
        <f t="shared" si="86"/>
        <v>1.0000004381159688</v>
      </c>
      <c r="F257" s="339">
        <f t="shared" si="87"/>
        <v>9.3607244249966075E-4</v>
      </c>
      <c r="G257" s="338">
        <f t="shared" si="88"/>
        <v>1</v>
      </c>
      <c r="H257" s="339">
        <f t="shared" si="89"/>
        <v>0</v>
      </c>
      <c r="I257" s="337">
        <f t="shared" si="90"/>
        <v>172080.6723935823</v>
      </c>
      <c r="J257" s="340">
        <f t="shared" si="91"/>
        <v>1.5707905155670225</v>
      </c>
      <c r="K257" s="348">
        <f t="shared" si="107"/>
        <v>2.8082689311686515</v>
      </c>
      <c r="L257" s="349">
        <f t="shared" si="108"/>
        <v>1.206714718956686</v>
      </c>
      <c r="M257" s="337">
        <f t="shared" si="92"/>
        <v>1.0001154765454208</v>
      </c>
      <c r="N257" s="340">
        <f t="shared" si="93"/>
        <v>1.5196409717775495E-2</v>
      </c>
      <c r="O257" s="341">
        <f t="shared" si="94"/>
        <v>1.0000585262437505</v>
      </c>
      <c r="P257" s="342">
        <f t="shared" si="95"/>
        <v>2.3931594722022189E-2</v>
      </c>
      <c r="Q257" s="343">
        <f t="shared" si="96"/>
        <v>1.3040029465527225</v>
      </c>
      <c r="R257" s="344">
        <f t="shared" si="97"/>
        <v>-39.693090541437734</v>
      </c>
      <c r="S257" s="346">
        <f t="shared" si="98"/>
        <v>140.30690945856227</v>
      </c>
      <c r="U257" s="319">
        <f t="shared" si="104"/>
        <v>1000000000</v>
      </c>
      <c r="V257" s="319">
        <f t="shared" si="105"/>
        <v>251190801</v>
      </c>
      <c r="X257" s="345">
        <f t="shared" si="99"/>
        <v>1.9603534596675078</v>
      </c>
      <c r="Y257" s="346">
        <f t="shared" si="100"/>
        <v>-21.73069673404671</v>
      </c>
      <c r="AA257" s="345">
        <f t="shared" si="101"/>
        <v>32.567278355817592</v>
      </c>
      <c r="AB257" s="346">
        <f t="shared" si="102"/>
        <v>-17.96239380739102</v>
      </c>
      <c r="AD257">
        <f t="shared" si="106"/>
        <v>0</v>
      </c>
      <c r="AE257">
        <f t="shared" si="109"/>
        <v>0</v>
      </c>
    </row>
    <row r="258" spans="1:31" x14ac:dyDescent="0.2">
      <c r="A258" s="347">
        <v>15941.25</v>
      </c>
      <c r="B258" s="364">
        <f t="shared" si="103"/>
        <v>15.94125</v>
      </c>
      <c r="C258" s="337">
        <f t="shared" si="84"/>
        <v>1.0442336192856736</v>
      </c>
      <c r="D258" s="338">
        <f t="shared" si="85"/>
        <v>0.29210399865476416</v>
      </c>
      <c r="E258" s="338">
        <f t="shared" si="86"/>
        <v>1.0000004432309679</v>
      </c>
      <c r="F258" s="339">
        <f t="shared" si="87"/>
        <v>9.4152090183059875E-4</v>
      </c>
      <c r="G258" s="338">
        <f t="shared" si="88"/>
        <v>1</v>
      </c>
      <c r="H258" s="339">
        <f t="shared" si="89"/>
        <v>0</v>
      </c>
      <c r="I258" s="337">
        <f t="shared" si="90"/>
        <v>173082.27767011541</v>
      </c>
      <c r="J258" s="340">
        <f t="shared" si="91"/>
        <v>1.5707905491958642</v>
      </c>
      <c r="K258" s="348">
        <f t="shared" si="107"/>
        <v>2.8225472103870719</v>
      </c>
      <c r="L258" s="349">
        <f t="shared" si="108"/>
        <v>1.2086417121620205</v>
      </c>
      <c r="M258" s="337">
        <f t="shared" si="92"/>
        <v>1.0001168246544094</v>
      </c>
      <c r="N258" s="340">
        <f t="shared" si="93"/>
        <v>1.5284847543235386E-2</v>
      </c>
      <c r="O258" s="341">
        <f t="shared" si="94"/>
        <v>1.0000592098234871</v>
      </c>
      <c r="P258" s="342">
        <f t="shared" si="95"/>
        <v>2.4070900295980413E-2</v>
      </c>
      <c r="Q258" s="343">
        <f t="shared" si="96"/>
        <v>1.2934674850217407</v>
      </c>
      <c r="R258" s="344">
        <f t="shared" si="97"/>
        <v>-39.68689934154218</v>
      </c>
      <c r="S258" s="346">
        <f t="shared" si="98"/>
        <v>140.31310065845781</v>
      </c>
      <c r="U258" s="319">
        <f t="shared" si="104"/>
        <v>1000000000</v>
      </c>
      <c r="V258" s="319">
        <f t="shared" si="105"/>
        <v>254123451.5625</v>
      </c>
      <c r="X258" s="345">
        <f t="shared" si="99"/>
        <v>1.953981995667686</v>
      </c>
      <c r="Y258" s="346">
        <f t="shared" si="100"/>
        <v>-21.625357197049158</v>
      </c>
      <c r="AA258" s="345">
        <f t="shared" si="101"/>
        <v>32.563114358286434</v>
      </c>
      <c r="AB258" s="346">
        <f t="shared" si="102"/>
        <v>-18.061542144493021</v>
      </c>
      <c r="AD258">
        <f t="shared" si="106"/>
        <v>0</v>
      </c>
      <c r="AE258">
        <f t="shared" si="109"/>
        <v>0</v>
      </c>
    </row>
    <row r="259" spans="1:31" x14ac:dyDescent="0.2">
      <c r="A259" s="347">
        <v>16033.5</v>
      </c>
      <c r="B259" s="364">
        <f t="shared" si="103"/>
        <v>16.0335</v>
      </c>
      <c r="C259" s="337">
        <f t="shared" si="84"/>
        <v>1.0447360540182766</v>
      </c>
      <c r="D259" s="338">
        <f t="shared" si="85"/>
        <v>0.29369907484923152</v>
      </c>
      <c r="E259" s="338">
        <f t="shared" si="86"/>
        <v>1.0000004483756531</v>
      </c>
      <c r="F259" s="339">
        <f t="shared" si="87"/>
        <v>9.4696936110563723E-4</v>
      </c>
      <c r="G259" s="338">
        <f t="shared" si="88"/>
        <v>1</v>
      </c>
      <c r="H259" s="339">
        <f t="shared" si="89"/>
        <v>0</v>
      </c>
      <c r="I259" s="337">
        <f t="shared" si="90"/>
        <v>174083.88294664872</v>
      </c>
      <c r="J259" s="340">
        <f t="shared" si="91"/>
        <v>1.5707905824377335</v>
      </c>
      <c r="K259" s="348">
        <f t="shared" si="107"/>
        <v>2.836835865050372</v>
      </c>
      <c r="L259" s="349">
        <f t="shared" si="108"/>
        <v>1.2105493005243479</v>
      </c>
      <c r="M259" s="337">
        <f t="shared" si="92"/>
        <v>1.0001181805855397</v>
      </c>
      <c r="N259" s="340">
        <f t="shared" si="93"/>
        <v>1.5373285129584111E-2</v>
      </c>
      <c r="O259" s="341">
        <f t="shared" si="94"/>
        <v>1.0000598973771577</v>
      </c>
      <c r="P259" s="342">
        <f t="shared" si="95"/>
        <v>2.4210206050486079E-2</v>
      </c>
      <c r="Q259" s="343">
        <f t="shared" si="96"/>
        <v>1.2830121717757921</v>
      </c>
      <c r="R259" s="344">
        <f t="shared" si="97"/>
        <v>-39.681732176412069</v>
      </c>
      <c r="S259" s="346">
        <f t="shared" si="98"/>
        <v>140.31826782358792</v>
      </c>
      <c r="U259" s="319">
        <f t="shared" si="104"/>
        <v>1000000000</v>
      </c>
      <c r="V259" s="319">
        <f t="shared" si="105"/>
        <v>257073122.25</v>
      </c>
      <c r="X259" s="345">
        <f t="shared" si="99"/>
        <v>1.9477108344577334</v>
      </c>
      <c r="Y259" s="346">
        <f t="shared" si="100"/>
        <v>-21.521129439787337</v>
      </c>
      <c r="AA259" s="345">
        <f t="shared" si="101"/>
        <v>32.558930206250437</v>
      </c>
      <c r="AB259" s="346">
        <f t="shared" si="102"/>
        <v>-18.160602736624735</v>
      </c>
      <c r="AD259">
        <f t="shared" si="106"/>
        <v>0</v>
      </c>
      <c r="AE259">
        <f t="shared" si="109"/>
        <v>0</v>
      </c>
    </row>
    <row r="260" spans="1:31" x14ac:dyDescent="0.2">
      <c r="A260" s="347">
        <v>16125.75</v>
      </c>
      <c r="B260" s="364">
        <f t="shared" si="103"/>
        <v>16.12575</v>
      </c>
      <c r="C260" s="337">
        <f t="shared" si="84"/>
        <v>1.0452411442800948</v>
      </c>
      <c r="D260" s="338">
        <f t="shared" si="85"/>
        <v>0.29529261352242575</v>
      </c>
      <c r="E260" s="338">
        <f t="shared" si="86"/>
        <v>1.0000004535500238</v>
      </c>
      <c r="F260" s="339">
        <f t="shared" si="87"/>
        <v>9.524178203244529E-4</v>
      </c>
      <c r="G260" s="338">
        <f t="shared" si="88"/>
        <v>1</v>
      </c>
      <c r="H260" s="339">
        <f t="shared" si="89"/>
        <v>0</v>
      </c>
      <c r="I260" s="337">
        <f t="shared" si="90"/>
        <v>175085.48822318224</v>
      </c>
      <c r="J260" s="340">
        <f t="shared" si="91"/>
        <v>1.5707906152992714</v>
      </c>
      <c r="K260" s="348">
        <f t="shared" si="107"/>
        <v>2.8511347391668234</v>
      </c>
      <c r="L260" s="349">
        <f t="shared" si="108"/>
        <v>1.2124377620100624</v>
      </c>
      <c r="M260" s="337">
        <f t="shared" si="92"/>
        <v>1.0001195443387798</v>
      </c>
      <c r="N260" s="340">
        <f t="shared" si="93"/>
        <v>1.546172247543926E-2</v>
      </c>
      <c r="O260" s="341">
        <f t="shared" si="94"/>
        <v>1.0000605889048786</v>
      </c>
      <c r="P260" s="342">
        <f t="shared" si="95"/>
        <v>2.4349511986581494E-2</v>
      </c>
      <c r="Q260" s="343">
        <f t="shared" si="96"/>
        <v>1.2726350101166526</v>
      </c>
      <c r="R260" s="344">
        <f t="shared" si="97"/>
        <v>-39.677572781945365</v>
      </c>
      <c r="S260" s="346">
        <f t="shared" si="98"/>
        <v>140.32242721805463</v>
      </c>
      <c r="U260" s="319">
        <f t="shared" si="104"/>
        <v>1000000000</v>
      </c>
      <c r="V260" s="319">
        <f t="shared" si="105"/>
        <v>260039813.0625</v>
      </c>
      <c r="X260" s="345">
        <f t="shared" si="99"/>
        <v>1.9415379174911453</v>
      </c>
      <c r="Y260" s="346">
        <f t="shared" si="100"/>
        <v>-21.417997536261321</v>
      </c>
      <c r="AA260" s="345">
        <f t="shared" si="101"/>
        <v>32.554725961557892</v>
      </c>
      <c r="AB260" s="346">
        <f t="shared" si="102"/>
        <v>-18.259575245684029</v>
      </c>
      <c r="AD260">
        <f t="shared" si="106"/>
        <v>0</v>
      </c>
      <c r="AE260">
        <f t="shared" si="109"/>
        <v>0</v>
      </c>
    </row>
    <row r="261" spans="1:31" x14ac:dyDescent="0.2">
      <c r="A261" s="347">
        <v>16218</v>
      </c>
      <c r="B261" s="364">
        <f t="shared" si="103"/>
        <v>16.218</v>
      </c>
      <c r="C261" s="337">
        <f t="shared" si="84"/>
        <v>1.0457488862233153</v>
      </c>
      <c r="D261" s="338">
        <f t="shared" si="85"/>
        <v>0.2968846088149158</v>
      </c>
      <c r="E261" s="338">
        <f t="shared" si="86"/>
        <v>1.0000004587540801</v>
      </c>
      <c r="F261" s="339">
        <f t="shared" si="87"/>
        <v>9.5786627948672189E-4</v>
      </c>
      <c r="G261" s="338">
        <f t="shared" si="88"/>
        <v>1</v>
      </c>
      <c r="H261" s="339">
        <f t="shared" si="89"/>
        <v>0</v>
      </c>
      <c r="I261" s="337">
        <f t="shared" si="90"/>
        <v>176087.09349971591</v>
      </c>
      <c r="J261" s="340">
        <f t="shared" si="91"/>
        <v>1.5707906477869686</v>
      </c>
      <c r="K261" s="348">
        <f t="shared" si="107"/>
        <v>2.8654436797478979</v>
      </c>
      <c r="L261" s="349">
        <f t="shared" si="108"/>
        <v>1.2143073695849869</v>
      </c>
      <c r="M261" s="337">
        <f t="shared" si="92"/>
        <v>1.0001209159140976</v>
      </c>
      <c r="N261" s="340">
        <f t="shared" si="93"/>
        <v>1.555015957941846E-2</v>
      </c>
      <c r="O261" s="341">
        <f t="shared" si="94"/>
        <v>1.0000612844067656</v>
      </c>
      <c r="P261" s="342">
        <f t="shared" si="95"/>
        <v>2.448881810530892E-2</v>
      </c>
      <c r="Q261" s="343">
        <f t="shared" si="96"/>
        <v>1.2623340549506732</v>
      </c>
      <c r="R261" s="344">
        <f t="shared" si="97"/>
        <v>-39.674405182984138</v>
      </c>
      <c r="S261" s="346">
        <f t="shared" si="98"/>
        <v>140.32559481701585</v>
      </c>
      <c r="U261" s="319">
        <f t="shared" si="104"/>
        <v>1000000000</v>
      </c>
      <c r="V261" s="319">
        <f t="shared" si="105"/>
        <v>263023524</v>
      </c>
      <c r="X261" s="345">
        <f t="shared" si="99"/>
        <v>1.9354612376712457</v>
      </c>
      <c r="Y261" s="346">
        <f t="shared" si="100"/>
        <v>-21.315945846974159</v>
      </c>
      <c r="AA261" s="345">
        <f t="shared" si="101"/>
        <v>32.550501686211803</v>
      </c>
      <c r="AB261" s="346">
        <f t="shared" si="102"/>
        <v>-18.358459336009975</v>
      </c>
      <c r="AD261">
        <f t="shared" si="106"/>
        <v>0</v>
      </c>
      <c r="AE261">
        <f t="shared" si="109"/>
        <v>0</v>
      </c>
    </row>
    <row r="262" spans="1:31" x14ac:dyDescent="0.2">
      <c r="A262" s="347">
        <v>16312.5</v>
      </c>
      <c r="B262" s="364">
        <f t="shared" si="103"/>
        <v>16.3125</v>
      </c>
      <c r="C262" s="337">
        <f t="shared" si="84"/>
        <v>1.0462717575636928</v>
      </c>
      <c r="D262" s="338">
        <f t="shared" si="85"/>
        <v>0.29851382687586636</v>
      </c>
      <c r="E262" s="338">
        <f t="shared" si="86"/>
        <v>1.0000004641158453</v>
      </c>
      <c r="F262" s="339">
        <f t="shared" si="87"/>
        <v>9.6344762783788127E-4</v>
      </c>
      <c r="G262" s="338">
        <f t="shared" si="88"/>
        <v>1</v>
      </c>
      <c r="H262" s="339">
        <f t="shared" si="89"/>
        <v>0</v>
      </c>
      <c r="I262" s="337">
        <f t="shared" si="90"/>
        <v>177113.12817323842</v>
      </c>
      <c r="J262" s="340">
        <f t="shared" si="91"/>
        <v>1.570790680686049</v>
      </c>
      <c r="K262" s="348">
        <f t="shared" si="107"/>
        <v>2.8801118997883091</v>
      </c>
      <c r="L262" s="349">
        <f t="shared" si="108"/>
        <v>1.2162033082347941</v>
      </c>
      <c r="M262" s="337">
        <f t="shared" si="92"/>
        <v>1.0001223290530161</v>
      </c>
      <c r="N262" s="340">
        <f t="shared" si="93"/>
        <v>1.5640753433691725E-2</v>
      </c>
      <c r="O262" s="341">
        <f t="shared" si="94"/>
        <v>1.0000620009929804</v>
      </c>
      <c r="P262" s="342">
        <f t="shared" si="95"/>
        <v>2.4631522124706651E-2</v>
      </c>
      <c r="Q262" s="343">
        <f t="shared" si="96"/>
        <v>1.2518588936264008</v>
      </c>
      <c r="R262" s="344">
        <f t="shared" si="97"/>
        <v>-39.672172299735514</v>
      </c>
      <c r="S262" s="346">
        <f t="shared" si="98"/>
        <v>140.32782770026449</v>
      </c>
      <c r="U262" s="319">
        <f t="shared" si="104"/>
        <v>1000000000</v>
      </c>
      <c r="V262" s="319">
        <f t="shared" si="105"/>
        <v>266097656.25</v>
      </c>
      <c r="X262" s="345">
        <f t="shared" si="99"/>
        <v>1.9293340872668945</v>
      </c>
      <c r="Y262" s="346">
        <f t="shared" si="100"/>
        <v>-21.212509094484417</v>
      </c>
      <c r="AA262" s="345">
        <f t="shared" si="101"/>
        <v>32.54615367529189</v>
      </c>
      <c r="AB262" s="346">
        <f t="shared" si="102"/>
        <v>-18.459663205251104</v>
      </c>
      <c r="AD262">
        <f t="shared" si="106"/>
        <v>0</v>
      </c>
      <c r="AE262">
        <f t="shared" si="109"/>
        <v>0</v>
      </c>
    </row>
    <row r="263" spans="1:31" x14ac:dyDescent="0.2">
      <c r="A263" s="347">
        <v>16407</v>
      </c>
      <c r="B263" s="364">
        <f t="shared" si="103"/>
        <v>16.407</v>
      </c>
      <c r="C263" s="337">
        <f t="shared" si="84"/>
        <v>1.0467974032983967</v>
      </c>
      <c r="D263" s="338">
        <f t="shared" si="85"/>
        <v>0.30014141304084574</v>
      </c>
      <c r="E263" s="338">
        <f t="shared" si="86"/>
        <v>1.0000004695087621</v>
      </c>
      <c r="F263" s="339">
        <f t="shared" si="87"/>
        <v>9.6902897612901489E-4</v>
      </c>
      <c r="G263" s="338">
        <f t="shared" si="88"/>
        <v>1</v>
      </c>
      <c r="H263" s="339">
        <f t="shared" si="89"/>
        <v>0</v>
      </c>
      <c r="I263" s="337">
        <f t="shared" si="90"/>
        <v>178139.16284676114</v>
      </c>
      <c r="J263" s="340">
        <f t="shared" si="91"/>
        <v>1.5707907132061494</v>
      </c>
      <c r="K263" s="348">
        <f t="shared" si="107"/>
        <v>2.8947903676918929</v>
      </c>
      <c r="L263" s="349">
        <f t="shared" si="108"/>
        <v>1.2180800262922589</v>
      </c>
      <c r="M263" s="337">
        <f t="shared" si="92"/>
        <v>1.0001237504001619</v>
      </c>
      <c r="N263" s="340">
        <f t="shared" si="93"/>
        <v>1.5731347031209746E-2</v>
      </c>
      <c r="O263" s="341">
        <f t="shared" si="94"/>
        <v>1.0000627217498366</v>
      </c>
      <c r="P263" s="342">
        <f t="shared" si="95"/>
        <v>2.4774226337967893E-2</v>
      </c>
      <c r="Q263" s="343">
        <f t="shared" si="96"/>
        <v>1.241459729008592</v>
      </c>
      <c r="R263" s="344">
        <f t="shared" si="97"/>
        <v>-39.670947149243318</v>
      </c>
      <c r="S263" s="346">
        <f t="shared" si="98"/>
        <v>140.32905285075668</v>
      </c>
      <c r="U263" s="319">
        <f t="shared" si="104"/>
        <v>1000000000</v>
      </c>
      <c r="V263" s="319">
        <f t="shared" si="105"/>
        <v>269189649</v>
      </c>
      <c r="X263" s="345">
        <f t="shared" si="99"/>
        <v>1.9233038210414712</v>
      </c>
      <c r="Y263" s="346">
        <f t="shared" si="100"/>
        <v>-21.110173564391943</v>
      </c>
      <c r="AA263" s="345">
        <f t="shared" si="101"/>
        <v>32.541784776899497</v>
      </c>
      <c r="AB263" s="346">
        <f t="shared" si="102"/>
        <v>-18.560773584851372</v>
      </c>
      <c r="AD263">
        <f t="shared" si="106"/>
        <v>0</v>
      </c>
      <c r="AE263">
        <f t="shared" si="109"/>
        <v>0</v>
      </c>
    </row>
    <row r="264" spans="1:31" x14ac:dyDescent="0.2">
      <c r="A264" s="347">
        <v>16501.5</v>
      </c>
      <c r="B264" s="364">
        <f t="shared" si="103"/>
        <v>16.5015</v>
      </c>
      <c r="C264" s="337">
        <f t="shared" si="84"/>
        <v>1.0473258192500776</v>
      </c>
      <c r="D264" s="338">
        <f t="shared" si="85"/>
        <v>0.30176736115040931</v>
      </c>
      <c r="E264" s="338">
        <f t="shared" si="86"/>
        <v>1.0000004749328302</v>
      </c>
      <c r="F264" s="339">
        <f t="shared" si="87"/>
        <v>9.7461032435977525E-4</v>
      </c>
      <c r="G264" s="338">
        <f t="shared" si="88"/>
        <v>1</v>
      </c>
      <c r="H264" s="339">
        <f t="shared" si="89"/>
        <v>0</v>
      </c>
      <c r="I264" s="337">
        <f t="shared" si="90"/>
        <v>179165.19752028401</v>
      </c>
      <c r="J264" s="340">
        <f t="shared" si="91"/>
        <v>1.5707907453537806</v>
      </c>
      <c r="K264" s="348">
        <f t="shared" si="107"/>
        <v>2.9094789283556937</v>
      </c>
      <c r="L264" s="349">
        <f t="shared" si="108"/>
        <v>1.2199378015431621</v>
      </c>
      <c r="M264" s="337">
        <f t="shared" si="92"/>
        <v>1.0001251799555</v>
      </c>
      <c r="N264" s="340">
        <f t="shared" si="93"/>
        <v>1.5821940370486582E-2</v>
      </c>
      <c r="O264" s="341">
        <f t="shared" si="94"/>
        <v>1.0000634466774616</v>
      </c>
      <c r="P264" s="342">
        <f t="shared" si="95"/>
        <v>2.4916930746212922E-2</v>
      </c>
      <c r="Q264" s="343">
        <f t="shared" si="96"/>
        <v>1.2311346289129224</v>
      </c>
      <c r="R264" s="344">
        <f t="shared" si="97"/>
        <v>-39.670713462996595</v>
      </c>
      <c r="S264" s="346">
        <f t="shared" si="98"/>
        <v>140.32928653700341</v>
      </c>
      <c r="U264" s="319">
        <f t="shared" si="104"/>
        <v>1000000000</v>
      </c>
      <c r="V264" s="319">
        <f t="shared" si="105"/>
        <v>272299502.25</v>
      </c>
      <c r="X264" s="345">
        <f t="shared" si="99"/>
        <v>1.9173684396717328</v>
      </c>
      <c r="Y264" s="346">
        <f t="shared" si="100"/>
        <v>-21.008923341031792</v>
      </c>
      <c r="AA264" s="345">
        <f t="shared" si="101"/>
        <v>32.537395058173566</v>
      </c>
      <c r="AB264" s="346">
        <f t="shared" si="102"/>
        <v>-18.661790121964806</v>
      </c>
      <c r="AD264">
        <f t="shared" si="106"/>
        <v>0</v>
      </c>
      <c r="AE264">
        <f t="shared" si="109"/>
        <v>0</v>
      </c>
    </row>
    <row r="265" spans="1:31" x14ac:dyDescent="0.2">
      <c r="A265" s="347">
        <v>16596</v>
      </c>
      <c r="B265" s="364">
        <f t="shared" si="103"/>
        <v>16.596</v>
      </c>
      <c r="C265" s="337">
        <f t="shared" si="84"/>
        <v>1.0478570012278199</v>
      </c>
      <c r="D265" s="338">
        <f t="shared" si="85"/>
        <v>0.30339166509214821</v>
      </c>
      <c r="E265" s="338">
        <f t="shared" si="86"/>
        <v>1.0000004803880498</v>
      </c>
      <c r="F265" s="339">
        <f t="shared" si="87"/>
        <v>9.8019167252981444E-4</v>
      </c>
      <c r="G265" s="338">
        <f t="shared" si="88"/>
        <v>1</v>
      </c>
      <c r="H265" s="339">
        <f t="shared" si="89"/>
        <v>0</v>
      </c>
      <c r="I265" s="337">
        <f t="shared" si="90"/>
        <v>180191.23219380708</v>
      </c>
      <c r="J265" s="340">
        <f t="shared" si="91"/>
        <v>1.5707907771353053</v>
      </c>
      <c r="K265" s="348">
        <f t="shared" si="107"/>
        <v>2.9241774296875902</v>
      </c>
      <c r="L265" s="349">
        <f t="shared" si="108"/>
        <v>1.2217769067168731</v>
      </c>
      <c r="M265" s="337">
        <f t="shared" si="92"/>
        <v>1.0001266177189949</v>
      </c>
      <c r="N265" s="340">
        <f t="shared" si="93"/>
        <v>1.5912533450036313E-2</v>
      </c>
      <c r="O265" s="341">
        <f t="shared" si="94"/>
        <v>1.0000641757759834</v>
      </c>
      <c r="P265" s="342">
        <f t="shared" si="95"/>
        <v>2.5059635350561934E-2</v>
      </c>
      <c r="Q265" s="343">
        <f t="shared" si="96"/>
        <v>1.2208817115938821</v>
      </c>
      <c r="R265" s="344">
        <f t="shared" si="97"/>
        <v>-39.671455264881899</v>
      </c>
      <c r="S265" s="346">
        <f t="shared" si="98"/>
        <v>140.3285447351181</v>
      </c>
      <c r="U265" s="319">
        <f t="shared" si="104"/>
        <v>1000000000</v>
      </c>
      <c r="V265" s="319">
        <f t="shared" si="105"/>
        <v>275427216</v>
      </c>
      <c r="X265" s="345">
        <f t="shared" si="99"/>
        <v>1.9115259941146765</v>
      </c>
      <c r="Y265" s="346">
        <f t="shared" si="100"/>
        <v>-20.908742798441526</v>
      </c>
      <c r="AA265" s="345">
        <f t="shared" si="101"/>
        <v>32.532984586411587</v>
      </c>
      <c r="AB265" s="346">
        <f t="shared" si="102"/>
        <v>-18.762712466440373</v>
      </c>
      <c r="AD265">
        <f t="shared" si="106"/>
        <v>0</v>
      </c>
      <c r="AE265">
        <f t="shared" si="109"/>
        <v>0</v>
      </c>
    </row>
    <row r="266" spans="1:31" x14ac:dyDescent="0.2">
      <c r="A266" s="347">
        <v>16692.5</v>
      </c>
      <c r="B266" s="364">
        <f t="shared" si="103"/>
        <v>16.692499999999999</v>
      </c>
      <c r="C266" s="337">
        <f t="shared" si="84"/>
        <v>1.0484022752386351</v>
      </c>
      <c r="D266" s="338">
        <f t="shared" si="85"/>
        <v>0.30504864280187649</v>
      </c>
      <c r="E266" s="338">
        <f t="shared" si="86"/>
        <v>1.0000004859908711</v>
      </c>
      <c r="F266" s="339">
        <f t="shared" si="87"/>
        <v>9.8589114440762455E-4</v>
      </c>
      <c r="G266" s="338">
        <f t="shared" si="88"/>
        <v>1</v>
      </c>
      <c r="H266" s="339">
        <f t="shared" si="89"/>
        <v>0</v>
      </c>
      <c r="I266" s="337">
        <f t="shared" si="90"/>
        <v>181238.98188687579</v>
      </c>
      <c r="J266" s="340">
        <f t="shared" si="91"/>
        <v>1.570790809218106</v>
      </c>
      <c r="K266" s="348">
        <f t="shared" si="107"/>
        <v>2.9391971138942075</v>
      </c>
      <c r="L266" s="349">
        <f t="shared" si="108"/>
        <v>1.2236359460560964</v>
      </c>
      <c r="M266" s="337">
        <f t="shared" si="92"/>
        <v>1.0001280943818818</v>
      </c>
      <c r="N266" s="340">
        <f t="shared" si="93"/>
        <v>1.6005043573864165E-2</v>
      </c>
      <c r="O266" s="341">
        <f t="shared" si="94"/>
        <v>1.0000649246095361</v>
      </c>
      <c r="P266" s="342">
        <f t="shared" si="95"/>
        <v>2.5205360361715147E-2</v>
      </c>
      <c r="Q266" s="343">
        <f t="shared" si="96"/>
        <v>1.210484387310129</v>
      </c>
      <c r="R266" s="344">
        <f t="shared" si="97"/>
        <v>-39.673203136603448</v>
      </c>
      <c r="S266" s="346">
        <f t="shared" si="98"/>
        <v>140.32679686339657</v>
      </c>
      <c r="U266" s="319">
        <f t="shared" si="104"/>
        <v>1000000000</v>
      </c>
      <c r="V266" s="319">
        <f t="shared" si="105"/>
        <v>278639556.25</v>
      </c>
      <c r="X266" s="345">
        <f t="shared" si="99"/>
        <v>1.9056538313195548</v>
      </c>
      <c r="Y266" s="346">
        <f t="shared" si="100"/>
        <v>-20.80752996810623</v>
      </c>
      <c r="AA266" s="345">
        <f t="shared" si="101"/>
        <v>32.528459424922957</v>
      </c>
      <c r="AB266" s="346">
        <f t="shared" si="102"/>
        <v>-18.865673168497235</v>
      </c>
      <c r="AD266">
        <f t="shared" si="106"/>
        <v>0</v>
      </c>
      <c r="AE266">
        <f t="shared" si="109"/>
        <v>0</v>
      </c>
    </row>
    <row r="267" spans="1:31" x14ac:dyDescent="0.2">
      <c r="A267" s="347">
        <v>16789</v>
      </c>
      <c r="B267" s="364">
        <f t="shared" si="103"/>
        <v>16.789000000000001</v>
      </c>
      <c r="C267" s="337">
        <f t="shared" si="84"/>
        <v>1.0489504247194397</v>
      </c>
      <c r="D267" s="338">
        <f t="shared" si="85"/>
        <v>0.30670389328030212</v>
      </c>
      <c r="E267" s="338">
        <f t="shared" si="86"/>
        <v>1.0000004916261764</v>
      </c>
      <c r="F267" s="339">
        <f t="shared" si="87"/>
        <v>9.9159061622138326E-4</v>
      </c>
      <c r="G267" s="338">
        <f t="shared" si="88"/>
        <v>1</v>
      </c>
      <c r="H267" s="339">
        <f t="shared" si="89"/>
        <v>0</v>
      </c>
      <c r="I267" s="337">
        <f t="shared" si="90"/>
        <v>182286.73157994472</v>
      </c>
      <c r="J267" s="340">
        <f t="shared" si="91"/>
        <v>1.570790840932095</v>
      </c>
      <c r="K267" s="348">
        <f t="shared" si="107"/>
        <v>2.9542268527371256</v>
      </c>
      <c r="L267" s="349">
        <f t="shared" si="108"/>
        <v>1.2254760758376824</v>
      </c>
      <c r="M267" s="337">
        <f t="shared" si="92"/>
        <v>1.0001295796039626</v>
      </c>
      <c r="N267" s="340">
        <f t="shared" si="93"/>
        <v>1.6097553423723172E-2</v>
      </c>
      <c r="O267" s="341">
        <f t="shared" si="94"/>
        <v>1.0000656777926717</v>
      </c>
      <c r="P267" s="342">
        <f t="shared" si="95"/>
        <v>2.5351085579721707E-2</v>
      </c>
      <c r="Q267" s="343">
        <f t="shared" si="96"/>
        <v>1.2001585219619075</v>
      </c>
      <c r="R267" s="344">
        <f t="shared" si="97"/>
        <v>-39.675935458134212</v>
      </c>
      <c r="S267" s="346">
        <f t="shared" si="98"/>
        <v>140.32406454186579</v>
      </c>
      <c r="U267" s="319">
        <f t="shared" si="104"/>
        <v>1000000000</v>
      </c>
      <c r="V267" s="319">
        <f t="shared" si="105"/>
        <v>281870521</v>
      </c>
      <c r="X267" s="345">
        <f t="shared" si="99"/>
        <v>1.8998746258966968</v>
      </c>
      <c r="Y267" s="346">
        <f t="shared" si="100"/>
        <v>-20.707400538788637</v>
      </c>
      <c r="AA267" s="345">
        <f t="shared" si="101"/>
        <v>32.52391276499759</v>
      </c>
      <c r="AB267" s="346">
        <f t="shared" si="102"/>
        <v>-18.968534919345583</v>
      </c>
      <c r="AD267">
        <f t="shared" si="106"/>
        <v>0</v>
      </c>
      <c r="AE267">
        <f t="shared" si="109"/>
        <v>0</v>
      </c>
    </row>
    <row r="268" spans="1:31" x14ac:dyDescent="0.2">
      <c r="A268" s="347">
        <v>16885.5</v>
      </c>
      <c r="B268" s="364">
        <f t="shared" si="103"/>
        <v>16.8855</v>
      </c>
      <c r="C268" s="337">
        <f t="shared" si="84"/>
        <v>1.0495014451647018</v>
      </c>
      <c r="D268" s="338">
        <f t="shared" si="85"/>
        <v>0.30835741017063856</v>
      </c>
      <c r="E268" s="338">
        <f t="shared" si="86"/>
        <v>1.0000004972939658</v>
      </c>
      <c r="F268" s="339">
        <f t="shared" si="87"/>
        <v>9.9729008797072019E-4</v>
      </c>
      <c r="G268" s="338">
        <f t="shared" si="88"/>
        <v>1</v>
      </c>
      <c r="H268" s="339">
        <f t="shared" si="89"/>
        <v>0</v>
      </c>
      <c r="I268" s="337">
        <f t="shared" si="90"/>
        <v>183334.48127301378</v>
      </c>
      <c r="J268" s="340">
        <f t="shared" si="91"/>
        <v>1.5707908722835955</v>
      </c>
      <c r="K268" s="348">
        <f t="shared" si="107"/>
        <v>2.9692664935336315</v>
      </c>
      <c r="L268" s="349">
        <f t="shared" si="108"/>
        <v>1.2272975708410778</v>
      </c>
      <c r="M268" s="337">
        <f t="shared" si="92"/>
        <v>1.0001310733851994</v>
      </c>
      <c r="N268" s="340">
        <f t="shared" si="93"/>
        <v>1.6190062998031142E-2</v>
      </c>
      <c r="O268" s="341">
        <f t="shared" si="94"/>
        <v>1.0000664353255293</v>
      </c>
      <c r="P268" s="342">
        <f t="shared" si="95"/>
        <v>2.5496811005774306E-2</v>
      </c>
      <c r="Q268" s="343">
        <f t="shared" si="96"/>
        <v>1.1899022651693023</v>
      </c>
      <c r="R268" s="344">
        <f t="shared" si="97"/>
        <v>-39.679636121894532</v>
      </c>
      <c r="S268" s="346">
        <f t="shared" si="98"/>
        <v>140.32036387810547</v>
      </c>
      <c r="U268" s="319">
        <f t="shared" si="104"/>
        <v>1000000000</v>
      </c>
      <c r="V268" s="319">
        <f t="shared" si="105"/>
        <v>285120110.25</v>
      </c>
      <c r="X268" s="345">
        <f t="shared" si="99"/>
        <v>1.8941864553122185</v>
      </c>
      <c r="Y268" s="346">
        <f t="shared" si="100"/>
        <v>-20.608338767057781</v>
      </c>
      <c r="AA268" s="345">
        <f t="shared" si="101"/>
        <v>32.519344678789466</v>
      </c>
      <c r="AB268" s="346">
        <f t="shared" si="102"/>
        <v>-19.071297354836748</v>
      </c>
      <c r="AD268">
        <f t="shared" si="106"/>
        <v>0</v>
      </c>
      <c r="AE268">
        <f t="shared" si="109"/>
        <v>0</v>
      </c>
    </row>
    <row r="269" spans="1:31" x14ac:dyDescent="0.2">
      <c r="A269" s="347">
        <v>16982</v>
      </c>
      <c r="B269" s="364">
        <f t="shared" si="103"/>
        <v>16.981999999999999</v>
      </c>
      <c r="C269" s="337">
        <f t="shared" ref="C269:C332" si="110">SQRT(1+(A269/pole1)^2)</f>
        <v>1.0500553320547741</v>
      </c>
      <c r="D269" s="338">
        <f t="shared" ref="D269:D332" si="111">ATAN(A269/pole1)</f>
        <v>0.31000918716732567</v>
      </c>
      <c r="E269" s="338">
        <f t="shared" ref="E269:E332" si="112">SQRT(1+(A269/Zero1)^2)</f>
        <v>1.0000005029942391</v>
      </c>
      <c r="F269" s="339">
        <f t="shared" ref="F269:F332" si="113">ATAN(A269/Zero1)</f>
        <v>1.0029895596552654E-3</v>
      </c>
      <c r="G269" s="338">
        <f t="shared" ref="G269:G332" si="114">IF(VIN_nom&gt;Vout, 1, SQRT(1+(A269/z_RHP)^2))</f>
        <v>1</v>
      </c>
      <c r="H269" s="339">
        <f t="shared" ref="H269:H332" si="115">IF(VIN_nom&gt;Vout, 0, -ATAN(A269/z_RHP))</f>
        <v>0</v>
      </c>
      <c r="I269" s="337">
        <f t="shared" ref="I269:I332" si="116">SQRT(1+(A269/Pole2)^2)</f>
        <v>184382.23096608304</v>
      </c>
      <c r="J269" s="340">
        <f t="shared" ref="J269:J332" si="117">ATAN(A269/Pole2)</f>
        <v>1.5707909032787868</v>
      </c>
      <c r="K269" s="348">
        <f t="shared" si="107"/>
        <v>2.984315886579243</v>
      </c>
      <c r="L269" s="349">
        <f t="shared" si="108"/>
        <v>1.2291007008031762</v>
      </c>
      <c r="M269" s="337">
        <f t="shared" ref="M269:M332" si="118">SQRT(1+(A269/pole4)^2)</f>
        <v>1.0001325757255533</v>
      </c>
      <c r="N269" s="340">
        <f t="shared" ref="N269:N332" si="119">ATAN(A269/pole4)</f>
        <v>1.6282572295205921E-2</v>
      </c>
      <c r="O269" s="341">
        <f t="shared" ref="O269:O332" si="120">SQRT((1-(V269/pterm2))^2+(A269/pterm1)^2)</f>
        <v>1.000067197208248</v>
      </c>
      <c r="P269" s="342">
        <f t="shared" ref="P269:P332" si="121">IF((ATAN((A269/pterm1)/(1-A269^2/pterm2))&gt;0),ATAN((A269/pterm1)/(1-A269^2/pterm2)),PI()+ATAN((A269/pterm1)/(1-A269^2/pterm2)))</f>
        <v>2.5642536641065573E-2</v>
      </c>
      <c r="Q269" s="343">
        <f t="shared" ref="Q269:Q332" si="122">20*LOG10(((E269*K269*G269)/(C269*I269*O269*M269))*Adc)</f>
        <v>1.1797138152015394</v>
      </c>
      <c r="R269" s="344">
        <f t="shared" ref="R269:R332" si="123">((F269+L269+H269)-(D269+J269+P269+N269))*radconv</f>
        <v>-39.684289312148543</v>
      </c>
      <c r="S269" s="346">
        <f t="shared" ref="S269:S332" si="124">IF(R269&gt;0,R269,R269+180)</f>
        <v>140.31571068785146</v>
      </c>
      <c r="U269" s="319">
        <f t="shared" si="104"/>
        <v>1000000000</v>
      </c>
      <c r="V269" s="319">
        <f t="shared" si="105"/>
        <v>288388324</v>
      </c>
      <c r="X269" s="345">
        <f t="shared" ref="X269:X332" si="125">20*LOG10((K269/(I269*M269))*AEA)</f>
        <v>1.8885874455219864</v>
      </c>
      <c r="Y269" s="346">
        <f t="shared" ref="Y269:Y332" si="126">(L269-(J269+N269))*radconv</f>
        <v>-20.51032919839145</v>
      </c>
      <c r="AA269" s="345">
        <f t="shared" ref="AA269:AA332" si="127">20*LOG10((E269*G269/(C269*O269))*Acs*Am)</f>
        <v>32.514755238611933</v>
      </c>
      <c r="AB269" s="346">
        <f t="shared" ref="AB269:AB332" si="128">(F269+H269-(D269+P269))*radconv</f>
        <v>-19.173960113757101</v>
      </c>
      <c r="AD269">
        <f t="shared" si="106"/>
        <v>0</v>
      </c>
      <c r="AE269">
        <f t="shared" si="109"/>
        <v>0</v>
      </c>
    </row>
    <row r="270" spans="1:31" x14ac:dyDescent="0.2">
      <c r="A270" s="347">
        <v>17081</v>
      </c>
      <c r="B270" s="364">
        <f t="shared" ref="B270:B333" si="129">A270/1000</f>
        <v>17.081</v>
      </c>
      <c r="C270" s="337">
        <f t="shared" si="110"/>
        <v>1.0506265423911356</v>
      </c>
      <c r="D270" s="338">
        <f t="shared" si="111"/>
        <v>0.31170194166897458</v>
      </c>
      <c r="E270" s="338">
        <f t="shared" si="112"/>
        <v>1.0000005088759452</v>
      </c>
      <c r="F270" s="339">
        <f t="shared" si="113"/>
        <v>1.0088366859789444E-3</v>
      </c>
      <c r="G270" s="338">
        <f t="shared" si="114"/>
        <v>1</v>
      </c>
      <c r="H270" s="339">
        <f t="shared" si="115"/>
        <v>0</v>
      </c>
      <c r="I270" s="337">
        <f t="shared" si="116"/>
        <v>185457.12443358431</v>
      </c>
      <c r="J270" s="340">
        <f t="shared" si="117"/>
        <v>1.5707909347130176</v>
      </c>
      <c r="K270" s="348">
        <f t="shared" si="107"/>
        <v>2.999765140921109</v>
      </c>
      <c r="L270" s="349">
        <f t="shared" si="108"/>
        <v>1.2309317366304251</v>
      </c>
      <c r="M270" s="337">
        <f t="shared" si="118"/>
        <v>1.0001341258811995</v>
      </c>
      <c r="N270" s="340">
        <f t="shared" si="119"/>
        <v>1.6377477916643183E-2</v>
      </c>
      <c r="O270" s="341">
        <f t="shared" si="120"/>
        <v>1.0000679833493651</v>
      </c>
      <c r="P270" s="342">
        <f t="shared" si="121"/>
        <v>2.5792037770572467E-2</v>
      </c>
      <c r="Q270" s="343">
        <f t="shared" si="122"/>
        <v>1.169330041592652</v>
      </c>
      <c r="R270" s="344">
        <f t="shared" si="123"/>
        <v>-39.690036636514506</v>
      </c>
      <c r="S270" s="346">
        <f t="shared" si="124"/>
        <v>140.30996336348551</v>
      </c>
      <c r="U270" s="319">
        <f t="shared" ref="U270:U333" si="130">IF(Q270&lt;0,A270,1000000000)</f>
        <v>1000000000</v>
      </c>
      <c r="V270" s="319">
        <f t="shared" ref="V270:V333" si="131">A270^2</f>
        <v>291760561</v>
      </c>
      <c r="X270" s="345">
        <f t="shared" si="125"/>
        <v>1.8829341244960283</v>
      </c>
      <c r="Y270" s="346">
        <f t="shared" si="126"/>
        <v>-20.410858065848359</v>
      </c>
      <c r="AA270" s="345">
        <f t="shared" si="127"/>
        <v>32.510024786029</v>
      </c>
      <c r="AB270" s="346">
        <f t="shared" si="128"/>
        <v>-19.27917857066614</v>
      </c>
      <c r="AD270">
        <f t="shared" ref="AD270:AD333" si="132">SUM((Q271&lt;0)*(Q270&gt;0))*A270</f>
        <v>0</v>
      </c>
      <c r="AE270">
        <f t="shared" si="109"/>
        <v>0</v>
      </c>
    </row>
    <row r="271" spans="1:31" x14ac:dyDescent="0.2">
      <c r="A271" s="347">
        <v>17180</v>
      </c>
      <c r="B271" s="364">
        <f t="shared" si="129"/>
        <v>17.18</v>
      </c>
      <c r="C271" s="337">
        <f t="shared" si="110"/>
        <v>1.0512007599347428</v>
      </c>
      <c r="D271" s="338">
        <f t="shared" si="111"/>
        <v>0.31339285167990116</v>
      </c>
      <c r="E271" s="338">
        <f t="shared" si="112"/>
        <v>1.0000005147918403</v>
      </c>
      <c r="F271" s="339">
        <f t="shared" si="113"/>
        <v>1.0146838122336414E-3</v>
      </c>
      <c r="G271" s="338">
        <f t="shared" si="114"/>
        <v>1</v>
      </c>
      <c r="H271" s="339">
        <f t="shared" si="115"/>
        <v>0</v>
      </c>
      <c r="I271" s="337">
        <f t="shared" si="116"/>
        <v>186532.01790108578</v>
      </c>
      <c r="J271" s="340">
        <f t="shared" si="117"/>
        <v>1.5707909657849679</v>
      </c>
      <c r="K271" s="348">
        <f t="shared" si="107"/>
        <v>3.0152243494705524</v>
      </c>
      <c r="L271" s="349">
        <f t="shared" si="108"/>
        <v>1.2327440028542751</v>
      </c>
      <c r="M271" s="337">
        <f t="shared" si="118"/>
        <v>1.0001356850451026</v>
      </c>
      <c r="N271" s="340">
        <f t="shared" si="119"/>
        <v>1.647238324302858E-2</v>
      </c>
      <c r="O271" s="341">
        <f t="shared" si="120"/>
        <v>1.0000687740689442</v>
      </c>
      <c r="P271" s="342">
        <f t="shared" si="121"/>
        <v>2.5941539122842659E-2</v>
      </c>
      <c r="Q271" s="343">
        <f t="shared" si="122"/>
        <v>1.1590139428909081</v>
      </c>
      <c r="R271" s="344">
        <f t="shared" si="123"/>
        <v>-39.696753673510692</v>
      </c>
      <c r="S271" s="346">
        <f t="shared" si="124"/>
        <v>140.3032463264893</v>
      </c>
      <c r="U271" s="319">
        <f t="shared" si="130"/>
        <v>1000000000</v>
      </c>
      <c r="V271" s="319">
        <f t="shared" si="131"/>
        <v>295152400</v>
      </c>
      <c r="X271" s="345">
        <f t="shared" si="125"/>
        <v>1.8773707984119894</v>
      </c>
      <c r="Y271" s="346">
        <f t="shared" si="126"/>
        <v>-20.312462314702021</v>
      </c>
      <c r="AA271" s="345">
        <f t="shared" si="127"/>
        <v>32.5052720134113</v>
      </c>
      <c r="AB271" s="346">
        <f t="shared" si="128"/>
        <v>-19.384291358808667</v>
      </c>
      <c r="AD271">
        <f t="shared" si="132"/>
        <v>0</v>
      </c>
      <c r="AE271">
        <f t="shared" si="109"/>
        <v>0</v>
      </c>
    </row>
    <row r="272" spans="1:31" x14ac:dyDescent="0.2">
      <c r="A272" s="347">
        <v>17279</v>
      </c>
      <c r="B272" s="364">
        <f t="shared" si="129"/>
        <v>17.279</v>
      </c>
      <c r="C272" s="337">
        <f t="shared" si="110"/>
        <v>1.0517779797602467</v>
      </c>
      <c r="D272" s="338">
        <f t="shared" si="111"/>
        <v>0.31508191055982432</v>
      </c>
      <c r="E272" s="338">
        <f t="shared" si="112"/>
        <v>1.000000520741924</v>
      </c>
      <c r="F272" s="339">
        <f t="shared" si="113"/>
        <v>1.0205309384189567E-3</v>
      </c>
      <c r="G272" s="338">
        <f t="shared" si="114"/>
        <v>1</v>
      </c>
      <c r="H272" s="339">
        <f t="shared" si="115"/>
        <v>0</v>
      </c>
      <c r="I272" s="337">
        <f t="shared" si="116"/>
        <v>187606.91136858746</v>
      </c>
      <c r="J272" s="340">
        <f t="shared" si="117"/>
        <v>1.5707909965008648</v>
      </c>
      <c r="K272" s="348">
        <f t="shared" si="107"/>
        <v>3.0306933599018691</v>
      </c>
      <c r="L272" s="349">
        <f t="shared" si="108"/>
        <v>1.2345377748854132</v>
      </c>
      <c r="M272" s="337">
        <f t="shared" si="118"/>
        <v>1.0001372532172208</v>
      </c>
      <c r="N272" s="340">
        <f t="shared" si="119"/>
        <v>1.6567288272653857E-2</v>
      </c>
      <c r="O272" s="341">
        <f t="shared" si="120"/>
        <v>1.0000695693671389</v>
      </c>
      <c r="P272" s="342">
        <f t="shared" si="121"/>
        <v>2.6091040699163712E-2</v>
      </c>
      <c r="Q272" s="343">
        <f t="shared" si="122"/>
        <v>1.1487637239922999</v>
      </c>
      <c r="R272" s="344">
        <f t="shared" si="123"/>
        <v>-39.704424263139728</v>
      </c>
      <c r="S272" s="346">
        <f t="shared" si="124"/>
        <v>140.29557573686026</v>
      </c>
      <c r="U272" s="319">
        <f t="shared" si="130"/>
        <v>1000000000</v>
      </c>
      <c r="V272" s="319">
        <f t="shared" si="131"/>
        <v>298563841</v>
      </c>
      <c r="X272" s="345">
        <f t="shared" si="125"/>
        <v>1.871895593584139</v>
      </c>
      <c r="Y272" s="346">
        <f t="shared" si="126"/>
        <v>-20.215126165341317</v>
      </c>
      <c r="AA272" s="345">
        <f t="shared" si="127"/>
        <v>32.500496999340541</v>
      </c>
      <c r="AB272" s="346">
        <f t="shared" si="128"/>
        <v>-19.489298097798397</v>
      </c>
      <c r="AD272">
        <f t="shared" si="132"/>
        <v>0</v>
      </c>
      <c r="AE272">
        <f t="shared" si="109"/>
        <v>0</v>
      </c>
    </row>
    <row r="273" spans="1:31" x14ac:dyDescent="0.2">
      <c r="A273" s="347">
        <v>17378</v>
      </c>
      <c r="B273" s="364">
        <f t="shared" si="129"/>
        <v>17.378</v>
      </c>
      <c r="C273" s="337">
        <f t="shared" si="110"/>
        <v>1.0523581969273805</v>
      </c>
      <c r="D273" s="338">
        <f t="shared" si="111"/>
        <v>0.31676911172524302</v>
      </c>
      <c r="E273" s="338">
        <f t="shared" si="112"/>
        <v>1.0000005267261969</v>
      </c>
      <c r="F273" s="339">
        <f t="shared" si="113"/>
        <v>1.0263780645344903E-3</v>
      </c>
      <c r="G273" s="338">
        <f t="shared" si="114"/>
        <v>1</v>
      </c>
      <c r="H273" s="339">
        <f t="shared" si="115"/>
        <v>0</v>
      </c>
      <c r="I273" s="337">
        <f t="shared" si="116"/>
        <v>188681.80483608926</v>
      </c>
      <c r="J273" s="340">
        <f t="shared" si="117"/>
        <v>1.5707910268667935</v>
      </c>
      <c r="K273" s="348">
        <f t="shared" si="107"/>
        <v>3.0461720228878959</v>
      </c>
      <c r="L273" s="349">
        <f t="shared" si="108"/>
        <v>1.23631332301809</v>
      </c>
      <c r="M273" s="337">
        <f t="shared" si="118"/>
        <v>1.0001388303975116</v>
      </c>
      <c r="N273" s="340">
        <f t="shared" si="119"/>
        <v>1.6662193003810808E-2</v>
      </c>
      <c r="O273" s="341">
        <f t="shared" si="120"/>
        <v>1.0000703692441026</v>
      </c>
      <c r="P273" s="342">
        <f t="shared" si="121"/>
        <v>2.6240542500823132E-2</v>
      </c>
      <c r="Q273" s="343">
        <f t="shared" si="122"/>
        <v>1.1385776375584311</v>
      </c>
      <c r="R273" s="344">
        <f t="shared" si="123"/>
        <v>-39.713032541799549</v>
      </c>
      <c r="S273" s="346">
        <f t="shared" si="124"/>
        <v>140.28696745820045</v>
      </c>
      <c r="U273" s="319">
        <f t="shared" si="130"/>
        <v>1000000000</v>
      </c>
      <c r="V273" s="319">
        <f t="shared" si="131"/>
        <v>301994884</v>
      </c>
      <c r="X273" s="345">
        <f t="shared" si="125"/>
        <v>1.8665066839304383</v>
      </c>
      <c r="Y273" s="346">
        <f t="shared" si="126"/>
        <v>-20.118834131297248</v>
      </c>
      <c r="AA273" s="345">
        <f t="shared" si="127"/>
        <v>32.495699822560368</v>
      </c>
      <c r="AB273" s="346">
        <f t="shared" si="128"/>
        <v>-19.594198410502294</v>
      </c>
      <c r="AD273">
        <f t="shared" si="132"/>
        <v>0</v>
      </c>
      <c r="AE273">
        <f t="shared" si="109"/>
        <v>0</v>
      </c>
    </row>
    <row r="274" spans="1:31" x14ac:dyDescent="0.2">
      <c r="A274" s="347">
        <v>17479.25</v>
      </c>
      <c r="B274" s="364">
        <f t="shared" si="129"/>
        <v>17.47925</v>
      </c>
      <c r="C274" s="337">
        <f t="shared" si="110"/>
        <v>1.0529546959820348</v>
      </c>
      <c r="D274" s="338">
        <f t="shared" si="111"/>
        <v>0.31849273004451512</v>
      </c>
      <c r="E274" s="338">
        <f t="shared" si="112"/>
        <v>1.0000005328818391</v>
      </c>
      <c r="F274" s="339">
        <f t="shared" si="113"/>
        <v>1.0323580798073269E-3</v>
      </c>
      <c r="G274" s="338">
        <f t="shared" si="114"/>
        <v>1</v>
      </c>
      <c r="H274" s="339">
        <f t="shared" si="115"/>
        <v>0</v>
      </c>
      <c r="I274" s="337">
        <f t="shared" si="116"/>
        <v>189781.12770057993</v>
      </c>
      <c r="J274" s="340">
        <f t="shared" si="117"/>
        <v>1.5707910575670649</v>
      </c>
      <c r="K274" s="348">
        <f t="shared" si="107"/>
        <v>3.0620123052225328</v>
      </c>
      <c r="L274" s="349">
        <f t="shared" si="108"/>
        <v>1.2381106510948718</v>
      </c>
      <c r="M274" s="337">
        <f t="shared" si="118"/>
        <v>1.0001404527403606</v>
      </c>
      <c r="N274" s="340">
        <f t="shared" si="119"/>
        <v>1.6759254350175164E-2</v>
      </c>
      <c r="O274" s="341">
        <f t="shared" si="120"/>
        <v>1.0000711920362966</v>
      </c>
      <c r="P274" s="342">
        <f t="shared" si="121"/>
        <v>2.6393442305122403E-2</v>
      </c>
      <c r="Q274" s="343">
        <f t="shared" si="122"/>
        <v>1.1282246120384885</v>
      </c>
      <c r="R274" s="344">
        <f t="shared" si="123"/>
        <v>-39.722790132131131</v>
      </c>
      <c r="S274" s="346">
        <f t="shared" si="124"/>
        <v>140.27720986786886</v>
      </c>
      <c r="U274" s="319">
        <f t="shared" si="130"/>
        <v>1000000000</v>
      </c>
      <c r="V274" s="319">
        <f t="shared" si="131"/>
        <v>305524180.5625</v>
      </c>
      <c r="X274" s="345">
        <f t="shared" si="125"/>
        <v>1.8610827036845694</v>
      </c>
      <c r="Y274" s="346">
        <f t="shared" si="126"/>
        <v>-20.021417782482484</v>
      </c>
      <c r="AA274" s="345">
        <f t="shared" si="127"/>
        <v>32.490770777286301</v>
      </c>
      <c r="AB274" s="346">
        <f t="shared" si="128"/>
        <v>-19.701372349648651</v>
      </c>
      <c r="AD274">
        <f t="shared" si="132"/>
        <v>0</v>
      </c>
      <c r="AE274">
        <f t="shared" si="109"/>
        <v>0</v>
      </c>
    </row>
    <row r="275" spans="1:31" x14ac:dyDescent="0.2">
      <c r="A275" s="347">
        <v>17580.5</v>
      </c>
      <c r="B275" s="364">
        <f t="shared" si="129"/>
        <v>17.580500000000001</v>
      </c>
      <c r="C275" s="337">
        <f t="shared" si="110"/>
        <v>1.0535543196701624</v>
      </c>
      <c r="D275" s="338">
        <f t="shared" si="111"/>
        <v>0.32021439150112602</v>
      </c>
      <c r="E275" s="338">
        <f t="shared" si="112"/>
        <v>1.000000539073242</v>
      </c>
      <c r="F275" s="339">
        <f t="shared" si="113"/>
        <v>1.0383380950063281E-3</v>
      </c>
      <c r="G275" s="338">
        <f t="shared" si="114"/>
        <v>1</v>
      </c>
      <c r="H275" s="339">
        <f t="shared" si="115"/>
        <v>0</v>
      </c>
      <c r="I275" s="337">
        <f t="shared" si="116"/>
        <v>190880.45056507082</v>
      </c>
      <c r="J275" s="340">
        <f t="shared" si="117"/>
        <v>1.570791087913717</v>
      </c>
      <c r="K275" s="348">
        <f t="shared" si="107"/>
        <v>3.0778623772136084</v>
      </c>
      <c r="L275" s="349">
        <f t="shared" si="108"/>
        <v>1.2398894734631454</v>
      </c>
      <c r="M275" s="337">
        <f t="shared" si="118"/>
        <v>1.0001420845054068</v>
      </c>
      <c r="N275" s="340">
        <f t="shared" si="119"/>
        <v>1.6856315380736297E-2</v>
      </c>
      <c r="O275" s="341">
        <f t="shared" si="120"/>
        <v>1.0000720196180795</v>
      </c>
      <c r="P275" s="342">
        <f t="shared" si="121"/>
        <v>2.6546342347842894E-2</v>
      </c>
      <c r="Q275" s="343">
        <f t="shared" si="122"/>
        <v>1.1179351172197862</v>
      </c>
      <c r="R275" s="344">
        <f t="shared" si="123"/>
        <v>-39.73349587679634</v>
      </c>
      <c r="S275" s="346">
        <f t="shared" si="124"/>
        <v>140.26650412320367</v>
      </c>
      <c r="U275" s="319">
        <f t="shared" si="130"/>
        <v>1000000000</v>
      </c>
      <c r="V275" s="319">
        <f t="shared" si="131"/>
        <v>309073980.25</v>
      </c>
      <c r="X275" s="345">
        <f t="shared" si="125"/>
        <v>1.8557452685913192</v>
      </c>
      <c r="Y275" s="346">
        <f t="shared" si="126"/>
        <v>-19.92506169430828</v>
      </c>
      <c r="AA275" s="345">
        <f t="shared" si="127"/>
        <v>32.485818717560846</v>
      </c>
      <c r="AB275" s="346">
        <f t="shared" si="128"/>
        <v>-19.808434182488064</v>
      </c>
      <c r="AD275">
        <f t="shared" si="132"/>
        <v>0</v>
      </c>
      <c r="AE275">
        <f t="shared" si="109"/>
        <v>0</v>
      </c>
    </row>
    <row r="276" spans="1:31" x14ac:dyDescent="0.2">
      <c r="A276" s="347">
        <v>17681.75</v>
      </c>
      <c r="B276" s="364">
        <f t="shared" si="129"/>
        <v>17.681750000000001</v>
      </c>
      <c r="C276" s="337">
        <f t="shared" si="110"/>
        <v>1.054157062659719</v>
      </c>
      <c r="D276" s="338">
        <f t="shared" si="111"/>
        <v>0.32193408923669303</v>
      </c>
      <c r="E276" s="338">
        <f t="shared" si="112"/>
        <v>1.0000005453004053</v>
      </c>
      <c r="F276" s="339">
        <f t="shared" si="113"/>
        <v>1.0443181101310662E-3</v>
      </c>
      <c r="G276" s="338">
        <f t="shared" si="114"/>
        <v>1</v>
      </c>
      <c r="H276" s="339">
        <f t="shared" si="115"/>
        <v>0</v>
      </c>
      <c r="I276" s="337">
        <f t="shared" si="116"/>
        <v>191979.77342956181</v>
      </c>
      <c r="J276" s="340">
        <f t="shared" si="117"/>
        <v>1.5707911179128247</v>
      </c>
      <c r="K276" s="348">
        <f t="shared" si="107"/>
        <v>3.0937220883950332</v>
      </c>
      <c r="L276" s="349">
        <f t="shared" si="108"/>
        <v>1.2416500633824237</v>
      </c>
      <c r="M276" s="337">
        <f t="shared" si="118"/>
        <v>1.0001437256926047</v>
      </c>
      <c r="N276" s="340">
        <f t="shared" si="119"/>
        <v>1.6953376093666962E-2</v>
      </c>
      <c r="O276" s="341">
        <f t="shared" si="120"/>
        <v>1.0000728519896196</v>
      </c>
      <c r="P276" s="342">
        <f t="shared" si="121"/>
        <v>2.6699242630361702E-2</v>
      </c>
      <c r="Q276" s="343">
        <f t="shared" si="122"/>
        <v>1.1077074298270257</v>
      </c>
      <c r="R276" s="344">
        <f t="shared" si="123"/>
        <v>-39.745133726544218</v>
      </c>
      <c r="S276" s="346">
        <f t="shared" si="124"/>
        <v>140.25486627345578</v>
      </c>
      <c r="U276" s="319">
        <f t="shared" si="130"/>
        <v>1000000000</v>
      </c>
      <c r="V276" s="319">
        <f t="shared" si="131"/>
        <v>312644283.0625</v>
      </c>
      <c r="X276" s="345">
        <f t="shared" si="125"/>
        <v>1.8504925706385065</v>
      </c>
      <c r="Y276" s="346">
        <f t="shared" si="126"/>
        <v>-19.829750210401151</v>
      </c>
      <c r="AA276" s="345">
        <f t="shared" si="127"/>
        <v>32.480843728120902</v>
      </c>
      <c r="AB276" s="346">
        <f t="shared" si="128"/>
        <v>-19.915383516143081</v>
      </c>
      <c r="AD276">
        <f t="shared" si="132"/>
        <v>0</v>
      </c>
      <c r="AE276">
        <f t="shared" si="109"/>
        <v>0</v>
      </c>
    </row>
    <row r="277" spans="1:31" x14ac:dyDescent="0.2">
      <c r="A277" s="347">
        <v>17783</v>
      </c>
      <c r="B277" s="364">
        <f t="shared" si="129"/>
        <v>17.783000000000001</v>
      </c>
      <c r="C277" s="337">
        <f t="shared" si="110"/>
        <v>1.0547629196031412</v>
      </c>
      <c r="D277" s="338">
        <f t="shared" si="111"/>
        <v>0.32365181645492891</v>
      </c>
      <c r="E277" s="338">
        <f t="shared" si="112"/>
        <v>1.0000005515633295</v>
      </c>
      <c r="F277" s="339">
        <f t="shared" si="113"/>
        <v>1.0502981251811132E-3</v>
      </c>
      <c r="G277" s="338">
        <f t="shared" si="114"/>
        <v>1</v>
      </c>
      <c r="H277" s="339">
        <f t="shared" si="115"/>
        <v>0</v>
      </c>
      <c r="I277" s="337">
        <f t="shared" si="116"/>
        <v>193079.09629405304</v>
      </c>
      <c r="J277" s="340">
        <f t="shared" si="117"/>
        <v>1.570791147570324</v>
      </c>
      <c r="K277" s="348">
        <f t="shared" si="107"/>
        <v>3.1095912912797994</v>
      </c>
      <c r="L277" s="349">
        <f t="shared" si="108"/>
        <v>1.2433926889913285</v>
      </c>
      <c r="M277" s="337">
        <f t="shared" si="118"/>
        <v>1.0001453763019075</v>
      </c>
      <c r="N277" s="340">
        <f t="shared" si="119"/>
        <v>1.7050436487139949E-2</v>
      </c>
      <c r="O277" s="341">
        <f t="shared" si="120"/>
        <v>1.0000736891510851</v>
      </c>
      <c r="P277" s="342">
        <f t="shared" si="121"/>
        <v>2.6852143154055874E-2</v>
      </c>
      <c r="Q277" s="343">
        <f t="shared" si="122"/>
        <v>1.0975398728667449</v>
      </c>
      <c r="R277" s="344">
        <f t="shared" si="123"/>
        <v>-39.757687929079225</v>
      </c>
      <c r="S277" s="346">
        <f t="shared" si="124"/>
        <v>140.24231207092078</v>
      </c>
      <c r="U277" s="319">
        <f t="shared" si="130"/>
        <v>1000000000</v>
      </c>
      <c r="V277" s="319">
        <f t="shared" si="131"/>
        <v>316235089</v>
      </c>
      <c r="X277" s="345">
        <f t="shared" si="125"/>
        <v>1.8453228479348502</v>
      </c>
      <c r="Y277" s="346">
        <f t="shared" si="126"/>
        <v>-19.735467967785187</v>
      </c>
      <c r="AA277" s="345">
        <f t="shared" si="127"/>
        <v>32.475845893864275</v>
      </c>
      <c r="AB277" s="346">
        <f t="shared" si="128"/>
        <v>-20.022219961294045</v>
      </c>
      <c r="AD277">
        <f t="shared" si="132"/>
        <v>0</v>
      </c>
      <c r="AE277">
        <f t="shared" si="109"/>
        <v>0</v>
      </c>
    </row>
    <row r="278" spans="1:31" x14ac:dyDescent="0.2">
      <c r="A278" s="347">
        <v>17886.5</v>
      </c>
      <c r="B278" s="364">
        <f t="shared" si="129"/>
        <v>17.886500000000002</v>
      </c>
      <c r="C278" s="337">
        <f t="shared" si="110"/>
        <v>1.0553854529712878</v>
      </c>
      <c r="D278" s="338">
        <f t="shared" si="111"/>
        <v>0.32540567168979234</v>
      </c>
      <c r="E278" s="338">
        <f t="shared" si="112"/>
        <v>1.000000558002391</v>
      </c>
      <c r="F278" s="339">
        <f t="shared" si="113"/>
        <v>1.0564110293768507E-3</v>
      </c>
      <c r="G278" s="338">
        <f t="shared" si="114"/>
        <v>1</v>
      </c>
      <c r="H278" s="339">
        <f t="shared" si="115"/>
        <v>0</v>
      </c>
      <c r="I278" s="337">
        <f t="shared" si="116"/>
        <v>194202.8485555331</v>
      </c>
      <c r="J278" s="340">
        <f t="shared" si="117"/>
        <v>1.5707911775398395</v>
      </c>
      <c r="K278" s="348">
        <f t="shared" si="107"/>
        <v>3.1258228030302311</v>
      </c>
      <c r="L278" s="349">
        <f t="shared" si="108"/>
        <v>1.2451557460105083</v>
      </c>
      <c r="M278" s="337">
        <f t="shared" si="118"/>
        <v>1.0001470733298701</v>
      </c>
      <c r="N278" s="340">
        <f t="shared" si="119"/>
        <v>1.7149653446158014E-2</v>
      </c>
      <c r="O278" s="341">
        <f t="shared" si="120"/>
        <v>1.0000745498670884</v>
      </c>
      <c r="P278" s="342">
        <f t="shared" si="121"/>
        <v>2.700844171787329E-2</v>
      </c>
      <c r="Q278" s="343">
        <f t="shared" si="122"/>
        <v>1.0872068206789001</v>
      </c>
      <c r="R278" s="344">
        <f t="shared" si="123"/>
        <v>-39.77145214026396</v>
      </c>
      <c r="S278" s="346">
        <f t="shared" si="124"/>
        <v>140.22854785973604</v>
      </c>
      <c r="U278" s="319">
        <f t="shared" si="130"/>
        <v>1000000000</v>
      </c>
      <c r="V278" s="319">
        <f t="shared" si="131"/>
        <v>319926882.25</v>
      </c>
      <c r="X278" s="345">
        <f t="shared" si="125"/>
        <v>1.8401222163754993</v>
      </c>
      <c r="Y278" s="346">
        <f t="shared" si="126"/>
        <v>-19.640138671570945</v>
      </c>
      <c r="AA278" s="345">
        <f t="shared" si="127"/>
        <v>32.470713473235776</v>
      </c>
      <c r="AB278" s="346">
        <f t="shared" si="128"/>
        <v>-20.131313468693012</v>
      </c>
      <c r="AD278">
        <f t="shared" si="132"/>
        <v>0</v>
      </c>
      <c r="AE278">
        <f t="shared" si="109"/>
        <v>0</v>
      </c>
    </row>
    <row r="279" spans="1:31" x14ac:dyDescent="0.2">
      <c r="A279" s="347">
        <v>17990</v>
      </c>
      <c r="B279" s="364">
        <f t="shared" si="129"/>
        <v>17.989999999999998</v>
      </c>
      <c r="C279" s="337">
        <f t="shared" si="110"/>
        <v>1.0560112288803389</v>
      </c>
      <c r="D279" s="338">
        <f t="shared" si="111"/>
        <v>0.32715745369291216</v>
      </c>
      <c r="E279" s="338">
        <f t="shared" si="112"/>
        <v>1.0000005644788201</v>
      </c>
      <c r="F279" s="339">
        <f t="shared" si="113"/>
        <v>1.0625239334936367E-3</v>
      </c>
      <c r="G279" s="338">
        <f t="shared" si="114"/>
        <v>1</v>
      </c>
      <c r="H279" s="339">
        <f t="shared" si="115"/>
        <v>0</v>
      </c>
      <c r="I279" s="337">
        <f t="shared" si="116"/>
        <v>195326.60081701333</v>
      </c>
      <c r="J279" s="340">
        <f t="shared" si="117"/>
        <v>1.5707912071645145</v>
      </c>
      <c r="K279" s="348">
        <f t="shared" ref="K279:K342" si="133">SQRT(1+(A279/Zero2)^2)</f>
        <v>3.1420639305916347</v>
      </c>
      <c r="L279" s="349">
        <f t="shared" ref="L279:L342" si="134">ATAN(A279/Zero2)</f>
        <v>1.2469005821486563</v>
      </c>
      <c r="M279" s="337">
        <f t="shared" si="118"/>
        <v>1.0001487802032518</v>
      </c>
      <c r="N279" s="340">
        <f t="shared" si="119"/>
        <v>1.7248870067501573E-2</v>
      </c>
      <c r="O279" s="341">
        <f t="shared" si="120"/>
        <v>1.0000754155886276</v>
      </c>
      <c r="P279" s="342">
        <f t="shared" si="121"/>
        <v>2.7164740536613653E-2</v>
      </c>
      <c r="Q279" s="343">
        <f t="shared" si="122"/>
        <v>1.076933199503459</v>
      </c>
      <c r="R279" s="344">
        <f t="shared" si="123"/>
        <v>-39.786141519108305</v>
      </c>
      <c r="S279" s="346">
        <f t="shared" si="124"/>
        <v>140.2138584808917</v>
      </c>
      <c r="U279" s="319">
        <f t="shared" si="130"/>
        <v>1000000000</v>
      </c>
      <c r="V279" s="319">
        <f t="shared" si="131"/>
        <v>323640100</v>
      </c>
      <c r="X279" s="345">
        <f t="shared" si="125"/>
        <v>1.8350047073575062</v>
      </c>
      <c r="Y279" s="346">
        <f t="shared" si="126"/>
        <v>-19.545853315834801</v>
      </c>
      <c r="AA279" s="345">
        <f t="shared" si="127"/>
        <v>32.465557361078332</v>
      </c>
      <c r="AB279" s="346">
        <f t="shared" si="128"/>
        <v>-20.240288203273515</v>
      </c>
      <c r="AD279">
        <f t="shared" si="132"/>
        <v>0</v>
      </c>
      <c r="AE279">
        <f t="shared" si="109"/>
        <v>0</v>
      </c>
    </row>
    <row r="280" spans="1:31" x14ac:dyDescent="0.2">
      <c r="A280" s="347">
        <v>18093.5</v>
      </c>
      <c r="B280" s="364">
        <f t="shared" si="129"/>
        <v>18.093499999999999</v>
      </c>
      <c r="C280" s="337">
        <f t="shared" si="110"/>
        <v>1.0566402415692873</v>
      </c>
      <c r="D280" s="338">
        <f t="shared" si="111"/>
        <v>0.32890715540584264</v>
      </c>
      <c r="E280" s="338">
        <f t="shared" si="112"/>
        <v>1.000000570992617</v>
      </c>
      <c r="F280" s="339">
        <f t="shared" si="113"/>
        <v>1.0686368375310148E-3</v>
      </c>
      <c r="G280" s="338">
        <f t="shared" si="114"/>
        <v>1</v>
      </c>
      <c r="H280" s="339">
        <f t="shared" si="115"/>
        <v>0</v>
      </c>
      <c r="I280" s="337">
        <f t="shared" si="116"/>
        <v>196450.35307849373</v>
      </c>
      <c r="J280" s="340">
        <f t="shared" si="117"/>
        <v>1.5707912364502659</v>
      </c>
      <c r="K280" s="348">
        <f t="shared" si="133"/>
        <v>3.158314525620701</v>
      </c>
      <c r="L280" s="349">
        <f t="shared" si="134"/>
        <v>1.2486274679566665</v>
      </c>
      <c r="M280" s="337">
        <f t="shared" si="118"/>
        <v>1.0001504969220025</v>
      </c>
      <c r="N280" s="340">
        <f t="shared" si="119"/>
        <v>1.7348086349219003E-2</v>
      </c>
      <c r="O280" s="341">
        <f t="shared" si="120"/>
        <v>1.0000762863158865</v>
      </c>
      <c r="P280" s="342">
        <f t="shared" si="121"/>
        <v>2.732103961174762E-2</v>
      </c>
      <c r="Q280" s="343">
        <f t="shared" si="122"/>
        <v>1.0667173591534627</v>
      </c>
      <c r="R280" s="344">
        <f t="shared" si="123"/>
        <v>-39.801740160080264</v>
      </c>
      <c r="S280" s="346">
        <f t="shared" si="124"/>
        <v>140.19825983991973</v>
      </c>
      <c r="U280" s="319">
        <f t="shared" si="130"/>
        <v>1000000000</v>
      </c>
      <c r="V280" s="319">
        <f t="shared" si="131"/>
        <v>327374742.25</v>
      </c>
      <c r="X280" s="345">
        <f t="shared" si="125"/>
        <v>1.8299685795147695</v>
      </c>
      <c r="Y280" s="346">
        <f t="shared" si="126"/>
        <v>-19.452596399379566</v>
      </c>
      <c r="AA280" s="345">
        <f t="shared" si="127"/>
        <v>32.460377648571075</v>
      </c>
      <c r="AB280" s="346">
        <f t="shared" si="128"/>
        <v>-20.349143760700695</v>
      </c>
      <c r="AD280">
        <f t="shared" si="132"/>
        <v>0</v>
      </c>
      <c r="AE280">
        <f t="shared" si="109"/>
        <v>0</v>
      </c>
    </row>
    <row r="281" spans="1:31" x14ac:dyDescent="0.2">
      <c r="A281" s="347">
        <v>18197</v>
      </c>
      <c r="B281" s="364">
        <f t="shared" si="129"/>
        <v>18.196999999999999</v>
      </c>
      <c r="C281" s="337">
        <f t="shared" si="110"/>
        <v>1.0572724852610729</v>
      </c>
      <c r="D281" s="338">
        <f t="shared" si="111"/>
        <v>0.3306547698378417</v>
      </c>
      <c r="E281" s="338">
        <f t="shared" si="112"/>
        <v>1.0000005775437812</v>
      </c>
      <c r="F281" s="339">
        <f t="shared" si="113"/>
        <v>1.0747497414885282E-3</v>
      </c>
      <c r="G281" s="338">
        <f t="shared" si="114"/>
        <v>1</v>
      </c>
      <c r="H281" s="339">
        <f t="shared" si="115"/>
        <v>0</v>
      </c>
      <c r="I281" s="337">
        <f t="shared" si="116"/>
        <v>197574.10533997431</v>
      </c>
      <c r="J281" s="340">
        <f t="shared" si="117"/>
        <v>1.5707912654028773</v>
      </c>
      <c r="K281" s="348">
        <f t="shared" si="133"/>
        <v>3.1745744427259943</v>
      </c>
      <c r="L281" s="349">
        <f t="shared" si="134"/>
        <v>1.2503366688755735</v>
      </c>
      <c r="M281" s="337">
        <f t="shared" si="118"/>
        <v>1.0001522234860716</v>
      </c>
      <c r="N281" s="340">
        <f t="shared" si="119"/>
        <v>1.7447302289358705E-2</v>
      </c>
      <c r="O281" s="341">
        <f t="shared" si="120"/>
        <v>1.0000771620490494</v>
      </c>
      <c r="P281" s="342">
        <f t="shared" si="121"/>
        <v>2.7477338944745786E-2</v>
      </c>
      <c r="Q281" s="343">
        <f t="shared" si="122"/>
        <v>1.0565576941714827</v>
      </c>
      <c r="R281" s="344">
        <f t="shared" si="123"/>
        <v>-39.818232454292584</v>
      </c>
      <c r="S281" s="346">
        <f t="shared" si="124"/>
        <v>140.18176754570743</v>
      </c>
      <c r="U281" s="319">
        <f t="shared" si="130"/>
        <v>1000000000</v>
      </c>
      <c r="V281" s="319">
        <f t="shared" si="131"/>
        <v>331130809</v>
      </c>
      <c r="X281" s="345">
        <f t="shared" si="125"/>
        <v>1.8250121360529103</v>
      </c>
      <c r="Y281" s="346">
        <f t="shared" si="126"/>
        <v>-19.360352713773771</v>
      </c>
      <c r="AA281" s="345">
        <f t="shared" si="127"/>
        <v>32.455174427050949</v>
      </c>
      <c r="AB281" s="346">
        <f t="shared" si="128"/>
        <v>-20.457879740518813</v>
      </c>
      <c r="AD281">
        <f t="shared" si="132"/>
        <v>0</v>
      </c>
      <c r="AE281">
        <f t="shared" si="109"/>
        <v>0</v>
      </c>
    </row>
    <row r="282" spans="1:31" x14ac:dyDescent="0.2">
      <c r="A282" s="347">
        <v>18303</v>
      </c>
      <c r="B282" s="364">
        <f t="shared" si="129"/>
        <v>18.303000000000001</v>
      </c>
      <c r="C282" s="337">
        <f t="shared" si="110"/>
        <v>1.0579233434974182</v>
      </c>
      <c r="D282" s="338">
        <f t="shared" si="111"/>
        <v>0.33244242642958755</v>
      </c>
      <c r="E282" s="338">
        <f t="shared" si="112"/>
        <v>1.0000005842919188</v>
      </c>
      <c r="F282" s="339">
        <f t="shared" si="113"/>
        <v>1.0810103000477467E-3</v>
      </c>
      <c r="G282" s="338">
        <f t="shared" si="114"/>
        <v>1</v>
      </c>
      <c r="H282" s="339">
        <f t="shared" si="115"/>
        <v>0</v>
      </c>
      <c r="I282" s="337">
        <f t="shared" si="116"/>
        <v>198725.00137588693</v>
      </c>
      <c r="J282" s="340">
        <f t="shared" si="117"/>
        <v>1.5707912947154246</v>
      </c>
      <c r="K282" s="348">
        <f t="shared" si="133"/>
        <v>3.1912366251173001</v>
      </c>
      <c r="L282" s="349">
        <f t="shared" si="134"/>
        <v>1.2520690961362504</v>
      </c>
      <c r="M282" s="337">
        <f t="shared" si="118"/>
        <v>1.0001540019594382</v>
      </c>
      <c r="N282" s="340">
        <f t="shared" si="119"/>
        <v>1.7548914393699155E-2</v>
      </c>
      <c r="O282" s="341">
        <f t="shared" si="120"/>
        <v>1.0000780641241185</v>
      </c>
      <c r="P282" s="342">
        <f t="shared" si="121"/>
        <v>2.7637413892770451E-2</v>
      </c>
      <c r="Q282" s="343">
        <f t="shared" si="122"/>
        <v>1.0462092218549137</v>
      </c>
      <c r="R282" s="344">
        <f t="shared" si="123"/>
        <v>-39.836033401444645</v>
      </c>
      <c r="S282" s="346">
        <f t="shared" si="124"/>
        <v>140.16396659855536</v>
      </c>
      <c r="U282" s="319">
        <f t="shared" si="130"/>
        <v>1000000000</v>
      </c>
      <c r="V282" s="319">
        <f t="shared" si="131"/>
        <v>334999809</v>
      </c>
      <c r="X282" s="345">
        <f t="shared" si="125"/>
        <v>1.8200168389861735</v>
      </c>
      <c r="Y282" s="346">
        <f t="shared" si="126"/>
        <v>-19.266915567528201</v>
      </c>
      <c r="AA282" s="345">
        <f t="shared" si="127"/>
        <v>32.449821251801126</v>
      </c>
      <c r="AB282" s="346">
        <f t="shared" si="128"/>
        <v>-20.569117833916451</v>
      </c>
      <c r="AD282">
        <f t="shared" si="132"/>
        <v>0</v>
      </c>
      <c r="AE282">
        <f t="shared" ref="AE282:AE345" si="135">IF(AD282&gt;0,S282,0)</f>
        <v>0</v>
      </c>
    </row>
    <row r="283" spans="1:31" x14ac:dyDescent="0.2">
      <c r="A283" s="347">
        <v>18409</v>
      </c>
      <c r="B283" s="364">
        <f t="shared" si="129"/>
        <v>18.408999999999999</v>
      </c>
      <c r="C283" s="337">
        <f t="shared" si="110"/>
        <v>1.0585775783927713</v>
      </c>
      <c r="D283" s="338">
        <f t="shared" si="111"/>
        <v>0.33422787906305201</v>
      </c>
      <c r="E283" s="338">
        <f t="shared" si="112"/>
        <v>1.0000005910792511</v>
      </c>
      <c r="F283" s="339">
        <f t="shared" si="113"/>
        <v>1.0872708585222253E-3</v>
      </c>
      <c r="G283" s="338">
        <f t="shared" si="114"/>
        <v>1</v>
      </c>
      <c r="H283" s="339">
        <f t="shared" si="115"/>
        <v>0</v>
      </c>
      <c r="I283" s="337">
        <f t="shared" si="116"/>
        <v>199875.89741179973</v>
      </c>
      <c r="J283" s="340">
        <f t="shared" si="117"/>
        <v>1.5707913236904054</v>
      </c>
      <c r="K283" s="348">
        <f t="shared" si="133"/>
        <v>3.2079082858671031</v>
      </c>
      <c r="L283" s="349">
        <f t="shared" si="134"/>
        <v>1.2537835214747117</v>
      </c>
      <c r="M283" s="337">
        <f t="shared" si="118"/>
        <v>1.0001557907593777</v>
      </c>
      <c r="N283" s="340">
        <f t="shared" si="119"/>
        <v>1.7650526135617916E-2</v>
      </c>
      <c r="O283" s="341">
        <f t="shared" si="120"/>
        <v>1.0000789714502385</v>
      </c>
      <c r="P283" s="342">
        <f t="shared" si="121"/>
        <v>2.7797489114388955E-2</v>
      </c>
      <c r="Q283" s="343">
        <f t="shared" si="122"/>
        <v>1.0359164009205237</v>
      </c>
      <c r="R283" s="344">
        <f t="shared" si="123"/>
        <v>-39.854739480830361</v>
      </c>
      <c r="S283" s="346">
        <f t="shared" si="124"/>
        <v>140.14526051916965</v>
      </c>
      <c r="U283" s="319">
        <f t="shared" si="130"/>
        <v>1000000000</v>
      </c>
      <c r="V283" s="319">
        <f t="shared" si="131"/>
        <v>338891281</v>
      </c>
      <c r="X283" s="345">
        <f t="shared" si="125"/>
        <v>1.8151016573244962</v>
      </c>
      <c r="Y283" s="346">
        <f t="shared" si="126"/>
        <v>-19.174509815343526</v>
      </c>
      <c r="AA283" s="345">
        <f t="shared" si="127"/>
        <v>32.44444361252841</v>
      </c>
      <c r="AB283" s="346">
        <f t="shared" si="128"/>
        <v>-20.680229665486824</v>
      </c>
      <c r="AD283">
        <f t="shared" si="132"/>
        <v>0</v>
      </c>
      <c r="AE283">
        <f t="shared" si="135"/>
        <v>0</v>
      </c>
    </row>
    <row r="284" spans="1:31" x14ac:dyDescent="0.2">
      <c r="A284" s="347">
        <v>18515</v>
      </c>
      <c r="B284" s="364">
        <f t="shared" si="129"/>
        <v>18.515000000000001</v>
      </c>
      <c r="C284" s="337">
        <f t="shared" si="110"/>
        <v>1.059235183690368</v>
      </c>
      <c r="D284" s="338">
        <f t="shared" si="111"/>
        <v>0.33601112044914905</v>
      </c>
      <c r="E284" s="338">
        <f t="shared" si="112"/>
        <v>1.0000005979057778</v>
      </c>
      <c r="F284" s="339">
        <f t="shared" si="113"/>
        <v>1.0935314169114739E-3</v>
      </c>
      <c r="G284" s="338">
        <f t="shared" si="114"/>
        <v>1</v>
      </c>
      <c r="H284" s="339">
        <f t="shared" si="115"/>
        <v>0</v>
      </c>
      <c r="I284" s="337">
        <f t="shared" si="116"/>
        <v>201026.79344771273</v>
      </c>
      <c r="J284" s="340">
        <f t="shared" si="117"/>
        <v>1.5707913523336179</v>
      </c>
      <c r="K284" s="348">
        <f t="shared" si="133"/>
        <v>3.2245892779613552</v>
      </c>
      <c r="L284" s="349">
        <f t="shared" si="134"/>
        <v>1.2554802141088288</v>
      </c>
      <c r="M284" s="337">
        <f t="shared" si="118"/>
        <v>1.0001575898858346</v>
      </c>
      <c r="N284" s="340">
        <f t="shared" si="119"/>
        <v>1.7752137513018667E-2</v>
      </c>
      <c r="O284" s="341">
        <f t="shared" si="120"/>
        <v>1.0000798840276104</v>
      </c>
      <c r="P284" s="342">
        <f t="shared" si="121"/>
        <v>2.7957564611180787E-2</v>
      </c>
      <c r="Q284" s="343">
        <f t="shared" si="122"/>
        <v>1.0256776439789193</v>
      </c>
      <c r="R284" s="344">
        <f t="shared" si="123"/>
        <v>-39.874334850070625</v>
      </c>
      <c r="S284" s="346">
        <f t="shared" si="124"/>
        <v>140.12566514992938</v>
      </c>
      <c r="U284" s="319">
        <f t="shared" si="130"/>
        <v>1000000000</v>
      </c>
      <c r="V284" s="319">
        <f t="shared" si="131"/>
        <v>342805225</v>
      </c>
      <c r="X284" s="345">
        <f t="shared" si="125"/>
        <v>1.8102649050765569</v>
      </c>
      <c r="Y284" s="346">
        <f t="shared" si="126"/>
        <v>-19.08312003238402</v>
      </c>
      <c r="AA284" s="345">
        <f t="shared" si="127"/>
        <v>32.439041607834739</v>
      </c>
      <c r="AB284" s="346">
        <f t="shared" si="128"/>
        <v>-20.791214817686594</v>
      </c>
      <c r="AD284">
        <f t="shared" si="132"/>
        <v>0</v>
      </c>
      <c r="AE284">
        <f t="shared" si="135"/>
        <v>0</v>
      </c>
    </row>
    <row r="285" spans="1:31" x14ac:dyDescent="0.2">
      <c r="A285" s="347">
        <v>18621</v>
      </c>
      <c r="B285" s="364">
        <f t="shared" si="129"/>
        <v>18.620999999999999</v>
      </c>
      <c r="C285" s="337">
        <f t="shared" si="110"/>
        <v>1.0598961531167796</v>
      </c>
      <c r="D285" s="338">
        <f t="shared" si="111"/>
        <v>0.33779214337308888</v>
      </c>
      <c r="E285" s="338">
        <f t="shared" si="112"/>
        <v>1.0000006047714991</v>
      </c>
      <c r="F285" s="339">
        <f t="shared" si="113"/>
        <v>1.0997919752150013E-3</v>
      </c>
      <c r="G285" s="338">
        <f t="shared" si="114"/>
        <v>1</v>
      </c>
      <c r="H285" s="339">
        <f t="shared" si="115"/>
        <v>0</v>
      </c>
      <c r="I285" s="337">
        <f t="shared" si="116"/>
        <v>202177.68948362587</v>
      </c>
      <c r="J285" s="340">
        <f t="shared" si="117"/>
        <v>1.5707913806507272</v>
      </c>
      <c r="K285" s="348">
        <f t="shared" si="133"/>
        <v>3.2412794573309487</v>
      </c>
      <c r="L285" s="349">
        <f t="shared" si="134"/>
        <v>1.25715943812444</v>
      </c>
      <c r="M285" s="337">
        <f t="shared" si="118"/>
        <v>1.0001593993387536</v>
      </c>
      <c r="N285" s="340">
        <f t="shared" si="119"/>
        <v>1.7853748523805134E-2</v>
      </c>
      <c r="O285" s="341">
        <f t="shared" si="120"/>
        <v>1.0000808018564373</v>
      </c>
      <c r="P285" s="342">
        <f t="shared" si="121"/>
        <v>2.8117640384725359E-2</v>
      </c>
      <c r="Q285" s="343">
        <f t="shared" si="122"/>
        <v>1.015491407169024</v>
      </c>
      <c r="R285" s="344">
        <f t="shared" si="123"/>
        <v>-39.894803965079454</v>
      </c>
      <c r="S285" s="346">
        <f t="shared" si="124"/>
        <v>140.10519603492054</v>
      </c>
      <c r="U285" s="319">
        <f t="shared" si="130"/>
        <v>1000000000</v>
      </c>
      <c r="V285" s="319">
        <f t="shared" si="131"/>
        <v>346741641</v>
      </c>
      <c r="X285" s="345">
        <f t="shared" si="125"/>
        <v>1.80550493962562</v>
      </c>
      <c r="Y285" s="346">
        <f t="shared" si="126"/>
        <v>-18.992731087850171</v>
      </c>
      <c r="AA285" s="345">
        <f t="shared" si="127"/>
        <v>32.433615336475782</v>
      </c>
      <c r="AB285" s="346">
        <f t="shared" si="128"/>
        <v>-20.90207287722928</v>
      </c>
      <c r="AD285">
        <f t="shared" si="132"/>
        <v>0</v>
      </c>
      <c r="AE285">
        <f t="shared" si="135"/>
        <v>0</v>
      </c>
    </row>
    <row r="286" spans="1:31" x14ac:dyDescent="0.2">
      <c r="A286" s="347">
        <v>18729.5</v>
      </c>
      <c r="B286" s="364">
        <f t="shared" si="129"/>
        <v>18.729500000000002</v>
      </c>
      <c r="C286" s="337">
        <f t="shared" si="110"/>
        <v>1.0605761889577863</v>
      </c>
      <c r="D286" s="338">
        <f t="shared" si="111"/>
        <v>0.33961286653933825</v>
      </c>
      <c r="E286" s="338">
        <f t="shared" si="112"/>
        <v>1.00000061183974</v>
      </c>
      <c r="F286" s="339">
        <f t="shared" si="113"/>
        <v>1.1062001881062089E-3</v>
      </c>
      <c r="G286" s="338">
        <f t="shared" si="114"/>
        <v>1</v>
      </c>
      <c r="H286" s="339">
        <f t="shared" si="115"/>
        <v>0</v>
      </c>
      <c r="I286" s="337">
        <f t="shared" si="116"/>
        <v>203355.72929397109</v>
      </c>
      <c r="J286" s="340">
        <f t="shared" si="117"/>
        <v>1.5707914093037423</v>
      </c>
      <c r="K286" s="348">
        <f t="shared" si="133"/>
        <v>3.2583726404963835</v>
      </c>
      <c r="L286" s="349">
        <f t="shared" si="134"/>
        <v>1.2588604453957581</v>
      </c>
      <c r="M286" s="337">
        <f t="shared" si="118"/>
        <v>1.0001612621620475</v>
      </c>
      <c r="N286" s="340">
        <f t="shared" si="119"/>
        <v>1.7957755638820926E-2</v>
      </c>
      <c r="O286" s="341">
        <f t="shared" si="120"/>
        <v>1.0000817467710812</v>
      </c>
      <c r="P286" s="342">
        <f t="shared" si="121"/>
        <v>2.8281491818556475E-2</v>
      </c>
      <c r="Q286" s="343">
        <f t="shared" si="122"/>
        <v>1.0051177545235275</v>
      </c>
      <c r="R286" s="344">
        <f t="shared" si="123"/>
        <v>-39.916644823123981</v>
      </c>
      <c r="S286" s="346">
        <f t="shared" si="124"/>
        <v>140.08335517687601</v>
      </c>
      <c r="U286" s="319">
        <f t="shared" si="130"/>
        <v>1000000000</v>
      </c>
      <c r="V286" s="319">
        <f t="shared" si="131"/>
        <v>350794170.25</v>
      </c>
      <c r="X286" s="345">
        <f t="shared" si="125"/>
        <v>1.8007105651050346</v>
      </c>
      <c r="Y286" s="346">
        <f t="shared" si="126"/>
        <v>-18.901231360604594</v>
      </c>
      <c r="AA286" s="345">
        <f t="shared" si="127"/>
        <v>32.42803605835087</v>
      </c>
      <c r="AB286" s="346">
        <f t="shared" si="128"/>
        <v>-21.01541346251938</v>
      </c>
      <c r="AD286">
        <f t="shared" si="132"/>
        <v>0</v>
      </c>
      <c r="AE286">
        <f t="shared" si="135"/>
        <v>0</v>
      </c>
    </row>
    <row r="287" spans="1:31" x14ac:dyDescent="0.2">
      <c r="A287" s="347">
        <v>18838</v>
      </c>
      <c r="B287" s="364">
        <f t="shared" si="129"/>
        <v>18.838000000000001</v>
      </c>
      <c r="C287" s="337">
        <f t="shared" si="110"/>
        <v>1.0612597361311249</v>
      </c>
      <c r="D287" s="338">
        <f t="shared" si="111"/>
        <v>0.34143125030662907</v>
      </c>
      <c r="E287" s="338">
        <f t="shared" si="112"/>
        <v>1.000000618949046</v>
      </c>
      <c r="F287" s="339">
        <f t="shared" si="113"/>
        <v>1.112608400906564E-3</v>
      </c>
      <c r="G287" s="338">
        <f t="shared" si="114"/>
        <v>1</v>
      </c>
      <c r="H287" s="339">
        <f t="shared" si="115"/>
        <v>0</v>
      </c>
      <c r="I287" s="337">
        <f t="shared" si="116"/>
        <v>204533.76910431645</v>
      </c>
      <c r="J287" s="340">
        <f t="shared" si="117"/>
        <v>1.5707914376266954</v>
      </c>
      <c r="K287" s="348">
        <f t="shared" si="133"/>
        <v>3.2754751531060262</v>
      </c>
      <c r="L287" s="349">
        <f t="shared" si="134"/>
        <v>1.2605436942718304</v>
      </c>
      <c r="M287" s="337">
        <f t="shared" si="118"/>
        <v>1.0001631358045253</v>
      </c>
      <c r="N287" s="340">
        <f t="shared" si="119"/>
        <v>1.8061762365281075E-2</v>
      </c>
      <c r="O287" s="341">
        <f t="shared" si="120"/>
        <v>1.0000826971882446</v>
      </c>
      <c r="P287" s="342">
        <f t="shared" si="121"/>
        <v>2.8445343545696965E-2</v>
      </c>
      <c r="Q287" s="343">
        <f t="shared" si="122"/>
        <v>0.99479598942847725</v>
      </c>
      <c r="R287" s="344">
        <f t="shared" si="123"/>
        <v>-39.939369100217931</v>
      </c>
      <c r="S287" s="346">
        <f t="shared" si="124"/>
        <v>140.06063089978207</v>
      </c>
      <c r="U287" s="319">
        <f t="shared" si="130"/>
        <v>1000000000</v>
      </c>
      <c r="V287" s="319">
        <f t="shared" si="131"/>
        <v>354870244</v>
      </c>
      <c r="X287" s="345">
        <f t="shared" si="125"/>
        <v>1.7959932931024238</v>
      </c>
      <c r="Y287" s="346">
        <f t="shared" si="126"/>
        <v>-18.810749073284935</v>
      </c>
      <c r="AA287" s="345">
        <f t="shared" si="127"/>
        <v>32.422431565258435</v>
      </c>
      <c r="AB287" s="346">
        <f t="shared" si="128"/>
        <v>-21.128620026932996</v>
      </c>
      <c r="AD287">
        <f t="shared" si="132"/>
        <v>0</v>
      </c>
      <c r="AE287">
        <f t="shared" si="135"/>
        <v>0</v>
      </c>
    </row>
    <row r="288" spans="1:31" x14ac:dyDescent="0.2">
      <c r="A288" s="347">
        <v>18946.5</v>
      </c>
      <c r="B288" s="364">
        <f t="shared" si="129"/>
        <v>18.9465</v>
      </c>
      <c r="C288" s="337">
        <f t="shared" si="110"/>
        <v>1.0619467878563396</v>
      </c>
      <c r="D288" s="338">
        <f t="shared" si="111"/>
        <v>0.34324728717899189</v>
      </c>
      <c r="E288" s="338">
        <f t="shared" si="112"/>
        <v>1.0000006260994174</v>
      </c>
      <c r="F288" s="339">
        <f t="shared" si="113"/>
        <v>1.1190166136155399E-3</v>
      </c>
      <c r="G288" s="338">
        <f t="shared" si="114"/>
        <v>1</v>
      </c>
      <c r="H288" s="339">
        <f t="shared" si="115"/>
        <v>0</v>
      </c>
      <c r="I288" s="337">
        <f t="shared" si="116"/>
        <v>205711.80891466199</v>
      </c>
      <c r="J288" s="340">
        <f t="shared" si="117"/>
        <v>1.5707914656252571</v>
      </c>
      <c r="K288" s="348">
        <f t="shared" si="133"/>
        <v>3.2925868497815389</v>
      </c>
      <c r="L288" s="349">
        <f t="shared" si="134"/>
        <v>1.2622094520123615</v>
      </c>
      <c r="M288" s="337">
        <f t="shared" si="118"/>
        <v>1.0001650202661265</v>
      </c>
      <c r="N288" s="340">
        <f t="shared" si="119"/>
        <v>1.8165768700937609E-2</v>
      </c>
      <c r="O288" s="341">
        <f t="shared" si="120"/>
        <v>1.000083653108149</v>
      </c>
      <c r="P288" s="342">
        <f t="shared" si="121"/>
        <v>2.8609195567840355E-2</v>
      </c>
      <c r="Q288" s="343">
        <f t="shared" si="122"/>
        <v>0.98452458943427068</v>
      </c>
      <c r="R288" s="344">
        <f t="shared" si="123"/>
        <v>-39.962961054313944</v>
      </c>
      <c r="S288" s="346">
        <f t="shared" si="124"/>
        <v>140.03703894568605</v>
      </c>
      <c r="U288" s="319">
        <f t="shared" si="130"/>
        <v>1000000000</v>
      </c>
      <c r="V288" s="319">
        <f t="shared" si="131"/>
        <v>358969862.25</v>
      </c>
      <c r="X288" s="345">
        <f t="shared" si="125"/>
        <v>1.7913514947911655</v>
      </c>
      <c r="Y288" s="346">
        <f t="shared" si="126"/>
        <v>-18.721268913234173</v>
      </c>
      <c r="AA288" s="345">
        <f t="shared" si="127"/>
        <v>32.416801963575487</v>
      </c>
      <c r="AB288" s="346">
        <f t="shared" si="128"/>
        <v>-21.241692141079781</v>
      </c>
      <c r="AD288">
        <f t="shared" si="132"/>
        <v>0</v>
      </c>
      <c r="AE288">
        <f t="shared" si="135"/>
        <v>0</v>
      </c>
    </row>
    <row r="289" spans="1:31" x14ac:dyDescent="0.2">
      <c r="A289" s="347">
        <v>19055</v>
      </c>
      <c r="B289" s="364">
        <f t="shared" si="129"/>
        <v>19.055</v>
      </c>
      <c r="C289" s="337">
        <f t="shared" si="110"/>
        <v>1.0626373373357909</v>
      </c>
      <c r="D289" s="338">
        <f t="shared" si="111"/>
        <v>0.34506096974171385</v>
      </c>
      <c r="E289" s="338">
        <f t="shared" si="112"/>
        <v>1.000000633290854</v>
      </c>
      <c r="F289" s="339">
        <f t="shared" si="113"/>
        <v>1.1254248262326106E-3</v>
      </c>
      <c r="G289" s="338">
        <f t="shared" si="114"/>
        <v>1</v>
      </c>
      <c r="H289" s="339">
        <f t="shared" si="115"/>
        <v>0</v>
      </c>
      <c r="I289" s="337">
        <f t="shared" si="116"/>
        <v>206889.84872500773</v>
      </c>
      <c r="J289" s="340">
        <f t="shared" si="117"/>
        <v>1.5707914933049687</v>
      </c>
      <c r="K289" s="348">
        <f t="shared" si="133"/>
        <v>3.3097075880738314</v>
      </c>
      <c r="L289" s="349">
        <f t="shared" si="134"/>
        <v>1.2638579807397747</v>
      </c>
      <c r="M289" s="337">
        <f t="shared" si="118"/>
        <v>1.0001669155467896</v>
      </c>
      <c r="N289" s="340">
        <f t="shared" si="119"/>
        <v>1.8269774643542611E-2</v>
      </c>
      <c r="O289" s="341">
        <f t="shared" si="120"/>
        <v>1.000084614531016</v>
      </c>
      <c r="P289" s="342">
        <f t="shared" si="121"/>
        <v>2.8773047886680083E-2</v>
      </c>
      <c r="Q289" s="343">
        <f t="shared" si="122"/>
        <v>0.97430207432553761</v>
      </c>
      <c r="R289" s="344">
        <f t="shared" si="123"/>
        <v>-39.987405242357426</v>
      </c>
      <c r="S289" s="346">
        <f t="shared" si="124"/>
        <v>140.01259475764257</v>
      </c>
      <c r="U289" s="319">
        <f t="shared" si="130"/>
        <v>1000000000</v>
      </c>
      <c r="V289" s="319">
        <f t="shared" si="131"/>
        <v>363093025</v>
      </c>
      <c r="X289" s="345">
        <f t="shared" si="125"/>
        <v>1.7867835834320545</v>
      </c>
      <c r="Y289" s="346">
        <f t="shared" si="126"/>
        <v>-18.632775862132398</v>
      </c>
      <c r="AA289" s="345">
        <f t="shared" si="127"/>
        <v>32.411147359825861</v>
      </c>
      <c r="AB289" s="346">
        <f t="shared" si="128"/>
        <v>-21.354629380225035</v>
      </c>
      <c r="AD289">
        <f t="shared" si="132"/>
        <v>0</v>
      </c>
      <c r="AE289">
        <f t="shared" si="135"/>
        <v>0</v>
      </c>
    </row>
    <row r="290" spans="1:31" x14ac:dyDescent="0.2">
      <c r="A290" s="347">
        <v>19165.75</v>
      </c>
      <c r="B290" s="364">
        <f t="shared" si="129"/>
        <v>19.165749999999999</v>
      </c>
      <c r="C290" s="337">
        <f t="shared" si="110"/>
        <v>1.0633458071965156</v>
      </c>
      <c r="D290" s="338">
        <f t="shared" si="111"/>
        <v>0.34690982756907718</v>
      </c>
      <c r="E290" s="338">
        <f t="shared" si="112"/>
        <v>1.0000006406737731</v>
      </c>
      <c r="F290" s="339">
        <f t="shared" si="113"/>
        <v>1.1319659279560874E-3</v>
      </c>
      <c r="G290" s="338">
        <f t="shared" si="114"/>
        <v>1</v>
      </c>
      <c r="H290" s="339">
        <f t="shared" si="115"/>
        <v>0</v>
      </c>
      <c r="I290" s="337">
        <f t="shared" si="116"/>
        <v>208092.31793234232</v>
      </c>
      <c r="J290" s="340">
        <f t="shared" si="117"/>
        <v>1.5707915212354702</v>
      </c>
      <c r="K290" s="348">
        <f t="shared" si="133"/>
        <v>3.327192544583677</v>
      </c>
      <c r="L290" s="349">
        <f t="shared" si="134"/>
        <v>1.2655231938653511</v>
      </c>
      <c r="M290" s="337">
        <f t="shared" si="118"/>
        <v>1.0001688612883701</v>
      </c>
      <c r="N290" s="340">
        <f t="shared" si="119"/>
        <v>1.8375936983712392E-2</v>
      </c>
      <c r="O290" s="341">
        <f t="shared" si="120"/>
        <v>1.0000856015667778</v>
      </c>
      <c r="P290" s="342">
        <f t="shared" si="121"/>
        <v>2.8940298372413863E-2</v>
      </c>
      <c r="Q290" s="343">
        <f t="shared" si="122"/>
        <v>0.96391649319581663</v>
      </c>
      <c r="R290" s="344">
        <f t="shared" si="123"/>
        <v>-40.013219532496031</v>
      </c>
      <c r="S290" s="346">
        <f t="shared" si="124"/>
        <v>139.98678046750396</v>
      </c>
      <c r="U290" s="319">
        <f t="shared" si="130"/>
        <v>1000000000</v>
      </c>
      <c r="V290" s="319">
        <f t="shared" si="131"/>
        <v>367325973.0625</v>
      </c>
      <c r="X290" s="345">
        <f t="shared" si="125"/>
        <v>1.7821955418095521</v>
      </c>
      <c r="Y290" s="346">
        <f t="shared" si="126"/>
        <v>-18.54345043227984</v>
      </c>
      <c r="AA290" s="345">
        <f t="shared" si="127"/>
        <v>32.405349820318648</v>
      </c>
      <c r="AB290" s="346">
        <f t="shared" si="128"/>
        <v>-21.469769100216183</v>
      </c>
      <c r="AD290">
        <f t="shared" si="132"/>
        <v>0</v>
      </c>
      <c r="AE290">
        <f t="shared" si="135"/>
        <v>0</v>
      </c>
    </row>
    <row r="291" spans="1:31" x14ac:dyDescent="0.2">
      <c r="A291" s="347">
        <v>19276.5</v>
      </c>
      <c r="B291" s="364">
        <f t="shared" si="129"/>
        <v>19.276499999999999</v>
      </c>
      <c r="C291" s="337">
        <f t="shared" si="110"/>
        <v>1.0640579070184211</v>
      </c>
      <c r="D291" s="338">
        <f t="shared" si="111"/>
        <v>0.34875621707742671</v>
      </c>
      <c r="E291" s="338">
        <f t="shared" si="112"/>
        <v>1.0000006480994783</v>
      </c>
      <c r="F291" s="339">
        <f t="shared" si="113"/>
        <v>1.1385070295826995E-3</v>
      </c>
      <c r="G291" s="338">
        <f t="shared" si="114"/>
        <v>1</v>
      </c>
      <c r="H291" s="339">
        <f t="shared" si="115"/>
        <v>0</v>
      </c>
      <c r="I291" s="337">
        <f t="shared" si="116"/>
        <v>209294.78713967706</v>
      </c>
      <c r="J291" s="340">
        <f t="shared" si="117"/>
        <v>1.5707915488450315</v>
      </c>
      <c r="K291" s="348">
        <f t="shared" si="133"/>
        <v>3.3446866307044307</v>
      </c>
      <c r="L291" s="349">
        <f t="shared" si="134"/>
        <v>1.2671709920219518</v>
      </c>
      <c r="M291" s="337">
        <f t="shared" si="118"/>
        <v>1.0001708183022524</v>
      </c>
      <c r="N291" s="340">
        <f t="shared" si="119"/>
        <v>1.8482098909627282E-2</v>
      </c>
      <c r="O291" s="341">
        <f t="shared" si="120"/>
        <v>1.0000865943365749</v>
      </c>
      <c r="P291" s="342">
        <f t="shared" si="121"/>
        <v>2.9107549170842011E-2</v>
      </c>
      <c r="Q291" s="343">
        <f t="shared" si="122"/>
        <v>0.95357885800732811</v>
      </c>
      <c r="R291" s="344">
        <f t="shared" si="123"/>
        <v>-40.039890178394302</v>
      </c>
      <c r="S291" s="346">
        <f t="shared" si="124"/>
        <v>139.9601098216057</v>
      </c>
      <c r="U291" s="319">
        <f t="shared" si="130"/>
        <v>1000000000</v>
      </c>
      <c r="V291" s="319">
        <f t="shared" si="131"/>
        <v>371583452.25</v>
      </c>
      <c r="X291" s="345">
        <f t="shared" si="125"/>
        <v>1.7776812711780337</v>
      </c>
      <c r="Y291" s="346">
        <f t="shared" si="126"/>
        <v>-18.455122764527488</v>
      </c>
      <c r="AA291" s="345">
        <f t="shared" si="127"/>
        <v>32.399526455761674</v>
      </c>
      <c r="AB291" s="346">
        <f t="shared" si="128"/>
        <v>-21.58476741386681</v>
      </c>
      <c r="AD291">
        <f t="shared" si="132"/>
        <v>0</v>
      </c>
      <c r="AE291">
        <f t="shared" si="135"/>
        <v>0</v>
      </c>
    </row>
    <row r="292" spans="1:31" x14ac:dyDescent="0.2">
      <c r="A292" s="347">
        <v>19387.25</v>
      </c>
      <c r="B292" s="364">
        <f t="shared" si="129"/>
        <v>19.387250000000002</v>
      </c>
      <c r="C292" s="337">
        <f t="shared" si="110"/>
        <v>1.0647736295185661</v>
      </c>
      <c r="D292" s="338">
        <f t="shared" si="111"/>
        <v>0.35060013064246587</v>
      </c>
      <c r="E292" s="338">
        <f t="shared" si="112"/>
        <v>1.0000006555679695</v>
      </c>
      <c r="F292" s="339">
        <f t="shared" si="113"/>
        <v>1.1450481311118873E-3</v>
      </c>
      <c r="G292" s="338">
        <f t="shared" si="114"/>
        <v>1</v>
      </c>
      <c r="H292" s="339">
        <f t="shared" si="115"/>
        <v>0</v>
      </c>
      <c r="I292" s="337">
        <f t="shared" si="116"/>
        <v>210497.25634701201</v>
      </c>
      <c r="J292" s="340">
        <f t="shared" si="117"/>
        <v>1.5707915761391524</v>
      </c>
      <c r="K292" s="348">
        <f t="shared" si="133"/>
        <v>3.3621897039270041</v>
      </c>
      <c r="L292" s="349">
        <f t="shared" si="134"/>
        <v>1.2688016381701557</v>
      </c>
      <c r="M292" s="337">
        <f t="shared" si="118"/>
        <v>1.0001727865883703</v>
      </c>
      <c r="N292" s="340">
        <f t="shared" si="119"/>
        <v>1.8588260418896749E-2</v>
      </c>
      <c r="O292" s="341">
        <f t="shared" si="120"/>
        <v>1.0000875928406481</v>
      </c>
      <c r="P292" s="342">
        <f t="shared" si="121"/>
        <v>2.9274800283765189E-2</v>
      </c>
      <c r="Q292" s="343">
        <f t="shared" si="122"/>
        <v>0.94328772252529947</v>
      </c>
      <c r="R292" s="344">
        <f t="shared" si="123"/>
        <v>-40.067401676962255</v>
      </c>
      <c r="S292" s="346">
        <f t="shared" si="124"/>
        <v>139.93259832303775</v>
      </c>
      <c r="U292" s="319">
        <f t="shared" si="130"/>
        <v>1000000000</v>
      </c>
      <c r="V292" s="319">
        <f t="shared" si="131"/>
        <v>375865462.5625</v>
      </c>
      <c r="X292" s="345">
        <f t="shared" si="125"/>
        <v>1.7732392115758984</v>
      </c>
      <c r="Y292" s="346">
        <f t="shared" si="126"/>
        <v>-18.367777792522151</v>
      </c>
      <c r="AA292" s="345">
        <f t="shared" si="127"/>
        <v>32.39367737988178</v>
      </c>
      <c r="AB292" s="346">
        <f t="shared" si="128"/>
        <v>-21.69962388444009</v>
      </c>
      <c r="AD292">
        <f t="shared" si="132"/>
        <v>0</v>
      </c>
      <c r="AE292">
        <f t="shared" si="135"/>
        <v>0</v>
      </c>
    </row>
    <row r="293" spans="1:31" x14ac:dyDescent="0.2">
      <c r="A293" s="347">
        <v>19498</v>
      </c>
      <c r="B293" s="364">
        <f t="shared" si="129"/>
        <v>19.498000000000001</v>
      </c>
      <c r="C293" s="337">
        <f t="shared" si="110"/>
        <v>1.0654929673965765</v>
      </c>
      <c r="D293" s="338">
        <f t="shared" si="111"/>
        <v>0.35244156072767752</v>
      </c>
      <c r="E293" s="338">
        <f t="shared" si="112"/>
        <v>1.0000006630792466</v>
      </c>
      <c r="F293" s="339">
        <f t="shared" si="113"/>
        <v>1.1515892325430909E-3</v>
      </c>
      <c r="G293" s="338">
        <f t="shared" si="114"/>
        <v>1</v>
      </c>
      <c r="H293" s="339">
        <f t="shared" si="115"/>
        <v>0</v>
      </c>
      <c r="I293" s="337">
        <f t="shared" si="116"/>
        <v>211699.72555434707</v>
      </c>
      <c r="J293" s="340">
        <f t="shared" si="117"/>
        <v>1.5707916031232083</v>
      </c>
      <c r="K293" s="348">
        <f t="shared" si="133"/>
        <v>3.379701624622002</v>
      </c>
      <c r="L293" s="349">
        <f t="shared" si="134"/>
        <v>1.2704153901894908</v>
      </c>
      <c r="M293" s="337">
        <f t="shared" si="118"/>
        <v>1.0001747661466569</v>
      </c>
      <c r="N293" s="340">
        <f t="shared" si="119"/>
        <v>1.8694421509130334E-2</v>
      </c>
      <c r="O293" s="341">
        <f t="shared" si="120"/>
        <v>1.0000885970792397</v>
      </c>
      <c r="P293" s="342">
        <f t="shared" si="121"/>
        <v>2.9442051712983953E-2</v>
      </c>
      <c r="Q293" s="343">
        <f t="shared" si="122"/>
        <v>0.93304168101821272</v>
      </c>
      <c r="R293" s="344">
        <f t="shared" si="123"/>
        <v>-40.095738821254848</v>
      </c>
      <c r="S293" s="346">
        <f t="shared" si="124"/>
        <v>139.90426117874514</v>
      </c>
      <c r="U293" s="319">
        <f t="shared" si="130"/>
        <v>1000000000</v>
      </c>
      <c r="V293" s="319">
        <f t="shared" si="131"/>
        <v>380172004</v>
      </c>
      <c r="X293" s="345">
        <f t="shared" si="125"/>
        <v>1.7688678434093827</v>
      </c>
      <c r="Y293" s="346">
        <f t="shared" si="126"/>
        <v>-18.281400741026243</v>
      </c>
      <c r="AA293" s="345">
        <f t="shared" si="127"/>
        <v>32.387802706541208</v>
      </c>
      <c r="AB293" s="346">
        <f t="shared" si="128"/>
        <v>-21.814338080228605</v>
      </c>
      <c r="AD293">
        <f t="shared" si="132"/>
        <v>0</v>
      </c>
      <c r="AE293">
        <f t="shared" si="135"/>
        <v>0</v>
      </c>
    </row>
    <row r="294" spans="1:31" x14ac:dyDescent="0.2">
      <c r="A294" s="347">
        <v>19611.75</v>
      </c>
      <c r="B294" s="364">
        <f t="shared" si="129"/>
        <v>19.611750000000001</v>
      </c>
      <c r="C294" s="337">
        <f t="shared" si="110"/>
        <v>1.0662355466431042</v>
      </c>
      <c r="D294" s="338">
        <f t="shared" si="111"/>
        <v>0.35433027841403997</v>
      </c>
      <c r="E294" s="338">
        <f t="shared" si="112"/>
        <v>1.0000006708385298</v>
      </c>
      <c r="F294" s="339">
        <f t="shared" si="113"/>
        <v>1.1583075194635209E-3</v>
      </c>
      <c r="G294" s="338">
        <f t="shared" si="114"/>
        <v>1</v>
      </c>
      <c r="H294" s="339">
        <f t="shared" si="115"/>
        <v>0</v>
      </c>
      <c r="I294" s="337">
        <f t="shared" si="116"/>
        <v>212934.76729100064</v>
      </c>
      <c r="J294" s="340">
        <f t="shared" si="117"/>
        <v>1.5707916305209497</v>
      </c>
      <c r="K294" s="348">
        <f t="shared" si="133"/>
        <v>3.3976969753704807</v>
      </c>
      <c r="L294" s="349">
        <f t="shared" si="134"/>
        <v>1.2720555344392073</v>
      </c>
      <c r="M294" s="337">
        <f t="shared" si="118"/>
        <v>1.0001768110615357</v>
      </c>
      <c r="N294" s="340">
        <f t="shared" si="119"/>
        <v>1.8803457856083623E-2</v>
      </c>
      <c r="O294" s="341">
        <f t="shared" si="120"/>
        <v>1.0000896344905654</v>
      </c>
      <c r="P294" s="342">
        <f t="shared" si="121"/>
        <v>2.9613833986112646E-2</v>
      </c>
      <c r="Q294" s="343">
        <f t="shared" si="122"/>
        <v>0.92256360209020938</v>
      </c>
      <c r="R294" s="344">
        <f t="shared" si="123"/>
        <v>-40.1256873921362</v>
      </c>
      <c r="S294" s="346">
        <f t="shared" si="124"/>
        <v>139.8743126078638</v>
      </c>
      <c r="U294" s="319">
        <f t="shared" si="130"/>
        <v>1000000000</v>
      </c>
      <c r="V294" s="319">
        <f t="shared" si="131"/>
        <v>384620738.0625</v>
      </c>
      <c r="X294" s="345">
        <f t="shared" si="125"/>
        <v>1.764450098377305</v>
      </c>
      <c r="Y294" s="346">
        <f t="shared" si="126"/>
        <v>-18.193676289893499</v>
      </c>
      <c r="AA294" s="345">
        <f t="shared" si="127"/>
        <v>32.381742372645284</v>
      </c>
      <c r="AB294" s="346">
        <f t="shared" si="128"/>
        <v>-21.93201110224269</v>
      </c>
      <c r="AD294">
        <f t="shared" si="132"/>
        <v>0</v>
      </c>
      <c r="AE294">
        <f t="shared" si="135"/>
        <v>0</v>
      </c>
    </row>
    <row r="295" spans="1:31" x14ac:dyDescent="0.2">
      <c r="A295" s="347">
        <v>19725.5</v>
      </c>
      <c r="B295" s="364">
        <f t="shared" si="129"/>
        <v>19.7255</v>
      </c>
      <c r="C295" s="337">
        <f t="shared" si="110"/>
        <v>1.0669819241210416</v>
      </c>
      <c r="D295" s="338">
        <f t="shared" si="111"/>
        <v>0.35621636042104071</v>
      </c>
      <c r="E295" s="338">
        <f t="shared" si="112"/>
        <v>1.0000006786429485</v>
      </c>
      <c r="F295" s="339">
        <f t="shared" si="113"/>
        <v>1.1650258062793899E-3</v>
      </c>
      <c r="G295" s="338">
        <f t="shared" si="114"/>
        <v>1</v>
      </c>
      <c r="H295" s="339">
        <f t="shared" si="115"/>
        <v>0</v>
      </c>
      <c r="I295" s="337">
        <f t="shared" si="116"/>
        <v>214169.80902765435</v>
      </c>
      <c r="J295" s="340">
        <f t="shared" si="117"/>
        <v>1.570791657602705</v>
      </c>
      <c r="K295" s="348">
        <f t="shared" si="133"/>
        <v>3.4157013698508552</v>
      </c>
      <c r="L295" s="349">
        <f t="shared" si="134"/>
        <v>1.2736783923922466</v>
      </c>
      <c r="M295" s="337">
        <f t="shared" si="118"/>
        <v>1.0001788678673926</v>
      </c>
      <c r="N295" s="340">
        <f t="shared" si="119"/>
        <v>1.8912493755880246E-2</v>
      </c>
      <c r="O295" s="341">
        <f t="shared" si="120"/>
        <v>1.0000906779518128</v>
      </c>
      <c r="P295" s="342">
        <f t="shared" si="121"/>
        <v>2.9785616596754615E-2</v>
      </c>
      <c r="Q295" s="343">
        <f t="shared" si="122"/>
        <v>0.91213021318194953</v>
      </c>
      <c r="R295" s="344">
        <f t="shared" si="123"/>
        <v>-40.156475357177136</v>
      </c>
      <c r="S295" s="346">
        <f t="shared" si="124"/>
        <v>139.84352464282287</v>
      </c>
      <c r="U295" s="319">
        <f t="shared" si="130"/>
        <v>1000000000</v>
      </c>
      <c r="V295" s="319">
        <f t="shared" si="131"/>
        <v>389095350.25</v>
      </c>
      <c r="X295" s="345">
        <f t="shared" si="125"/>
        <v>1.7601038024826026</v>
      </c>
      <c r="Y295" s="346">
        <f t="shared" si="126"/>
        <v>-18.106942226880037</v>
      </c>
      <c r="AA295" s="345">
        <f t="shared" si="127"/>
        <v>32.375655279631722</v>
      </c>
      <c r="AB295" s="346">
        <f t="shared" si="128"/>
        <v>-22.0495331302971</v>
      </c>
      <c r="AD295">
        <f t="shared" si="132"/>
        <v>0</v>
      </c>
      <c r="AE295">
        <f t="shared" si="135"/>
        <v>0</v>
      </c>
    </row>
    <row r="296" spans="1:31" x14ac:dyDescent="0.2">
      <c r="A296" s="347">
        <v>19839.25</v>
      </c>
      <c r="B296" s="364">
        <f t="shared" si="129"/>
        <v>19.83925</v>
      </c>
      <c r="C296" s="337">
        <f t="shared" si="110"/>
        <v>1.0677320918651483</v>
      </c>
      <c r="D296" s="338">
        <f t="shared" si="111"/>
        <v>0.35809979887131277</v>
      </c>
      <c r="E296" s="338">
        <f t="shared" si="112"/>
        <v>1.0000006864925024</v>
      </c>
      <c r="F296" s="339">
        <f t="shared" si="113"/>
        <v>1.1717440929900908E-3</v>
      </c>
      <c r="G296" s="338">
        <f t="shared" si="114"/>
        <v>1</v>
      </c>
      <c r="H296" s="339">
        <f t="shared" si="115"/>
        <v>0</v>
      </c>
      <c r="I296" s="337">
        <f t="shared" si="116"/>
        <v>215404.85076430824</v>
      </c>
      <c r="J296" s="340">
        <f t="shared" si="117"/>
        <v>1.5707916843739091</v>
      </c>
      <c r="K296" s="348">
        <f t="shared" si="133"/>
        <v>3.4337146658029827</v>
      </c>
      <c r="L296" s="349">
        <f t="shared" si="134"/>
        <v>1.2752842274847496</v>
      </c>
      <c r="M296" s="337">
        <f t="shared" si="118"/>
        <v>1.0001809365641547</v>
      </c>
      <c r="N296" s="340">
        <f t="shared" si="119"/>
        <v>1.9021529205930355E-2</v>
      </c>
      <c r="O296" s="341">
        <f t="shared" si="120"/>
        <v>1.000091727463249</v>
      </c>
      <c r="P296" s="342">
        <f t="shared" si="121"/>
        <v>2.9957399546860383E-2</v>
      </c>
      <c r="Q296" s="343">
        <f t="shared" si="122"/>
        <v>0.90174011660532027</v>
      </c>
      <c r="R296" s="344">
        <f t="shared" si="123"/>
        <v>-40.188087171533553</v>
      </c>
      <c r="S296" s="346">
        <f t="shared" si="124"/>
        <v>139.81191282846646</v>
      </c>
      <c r="U296" s="319">
        <f t="shared" si="130"/>
        <v>1000000000</v>
      </c>
      <c r="V296" s="319">
        <f t="shared" si="131"/>
        <v>393595840.5625</v>
      </c>
      <c r="X296" s="345">
        <f t="shared" si="125"/>
        <v>1.7558274342626849</v>
      </c>
      <c r="Y296" s="346">
        <f t="shared" si="126"/>
        <v>-18.021183458369812</v>
      </c>
      <c r="AA296" s="345">
        <f t="shared" si="127"/>
        <v>32.369541551275013</v>
      </c>
      <c r="AB296" s="346">
        <f t="shared" si="128"/>
        <v>-22.166903713163748</v>
      </c>
      <c r="AD296">
        <f t="shared" si="132"/>
        <v>0</v>
      </c>
      <c r="AE296">
        <f t="shared" si="135"/>
        <v>0</v>
      </c>
    </row>
    <row r="297" spans="1:31" x14ac:dyDescent="0.2">
      <c r="A297" s="347">
        <v>19953</v>
      </c>
      <c r="B297" s="364">
        <f t="shared" si="129"/>
        <v>19.952999999999999</v>
      </c>
      <c r="C297" s="337">
        <f t="shared" si="110"/>
        <v>1.0684860418921598</v>
      </c>
      <c r="D297" s="338">
        <f t="shared" si="111"/>
        <v>0.35998058598457577</v>
      </c>
      <c r="E297" s="338">
        <f t="shared" si="112"/>
        <v>1.000000694387192</v>
      </c>
      <c r="F297" s="339">
        <f t="shared" si="113"/>
        <v>1.1784623795950177E-3</v>
      </c>
      <c r="G297" s="338">
        <f t="shared" si="114"/>
        <v>1</v>
      </c>
      <c r="H297" s="339">
        <f t="shared" si="115"/>
        <v>0</v>
      </c>
      <c r="I297" s="337">
        <f t="shared" si="116"/>
        <v>216639.89250096225</v>
      </c>
      <c r="J297" s="340">
        <f t="shared" si="117"/>
        <v>1.5707917108398735</v>
      </c>
      <c r="K297" s="348">
        <f t="shared" si="133"/>
        <v>3.4517367238667194</v>
      </c>
      <c r="L297" s="349">
        <f t="shared" si="134"/>
        <v>1.2768732980063588</v>
      </c>
      <c r="M297" s="337">
        <f t="shared" si="118"/>
        <v>1.0001830171517478</v>
      </c>
      <c r="N297" s="340">
        <f t="shared" si="119"/>
        <v>1.913056420364416E-2</v>
      </c>
      <c r="O297" s="341">
        <f t="shared" si="120"/>
        <v>1.0000927830251423</v>
      </c>
      <c r="P297" s="342">
        <f t="shared" si="121"/>
        <v>3.0129182838380345E-2</v>
      </c>
      <c r="Q297" s="343">
        <f t="shared" si="122"/>
        <v>0.89139195446178165</v>
      </c>
      <c r="R297" s="344">
        <f t="shared" si="123"/>
        <v>-40.220507590789516</v>
      </c>
      <c r="S297" s="346">
        <f t="shared" si="124"/>
        <v>139.77949240921049</v>
      </c>
      <c r="U297" s="319">
        <f t="shared" si="130"/>
        <v>1000000000</v>
      </c>
      <c r="V297" s="319">
        <f t="shared" si="131"/>
        <v>398122209</v>
      </c>
      <c r="X297" s="345">
        <f t="shared" si="125"/>
        <v>1.751619511920576</v>
      </c>
      <c r="Y297" s="346">
        <f t="shared" si="126"/>
        <v>-17.936385185612323</v>
      </c>
      <c r="AA297" s="345">
        <f t="shared" si="127"/>
        <v>32.363401311473588</v>
      </c>
      <c r="AB297" s="346">
        <f t="shared" si="128"/>
        <v>-22.284122405177193</v>
      </c>
      <c r="AD297">
        <f t="shared" si="132"/>
        <v>0</v>
      </c>
      <c r="AE297">
        <f t="shared" si="135"/>
        <v>0</v>
      </c>
    </row>
    <row r="298" spans="1:31" x14ac:dyDescent="0.2">
      <c r="A298" s="347">
        <v>20069</v>
      </c>
      <c r="B298" s="364">
        <f t="shared" si="129"/>
        <v>20.068999999999999</v>
      </c>
      <c r="C298" s="337">
        <f t="shared" si="110"/>
        <v>1.0692587921665018</v>
      </c>
      <c r="D298" s="338">
        <f t="shared" si="111"/>
        <v>0.36189583699406019</v>
      </c>
      <c r="E298" s="338">
        <f t="shared" si="112"/>
        <v>1.0000007024845234</v>
      </c>
      <c r="F298" s="339">
        <f t="shared" si="113"/>
        <v>1.1853135552759744E-3</v>
      </c>
      <c r="G298" s="338">
        <f t="shared" si="114"/>
        <v>1</v>
      </c>
      <c r="H298" s="339">
        <f t="shared" si="115"/>
        <v>0</v>
      </c>
      <c r="I298" s="337">
        <f t="shared" si="116"/>
        <v>217899.36363460522</v>
      </c>
      <c r="J298" s="340">
        <f t="shared" si="117"/>
        <v>1.5707917375203648</v>
      </c>
      <c r="K298" s="348">
        <f t="shared" si="133"/>
        <v>3.4701241444779036</v>
      </c>
      <c r="L298" s="349">
        <f t="shared" si="134"/>
        <v>1.2784767979530938</v>
      </c>
      <c r="M298" s="337">
        <f t="shared" si="118"/>
        <v>1.0001851511397062</v>
      </c>
      <c r="N298" s="340">
        <f t="shared" si="119"/>
        <v>1.9241755469046065E-2</v>
      </c>
      <c r="O298" s="341">
        <f t="shared" si="120"/>
        <v>1.000093865697721</v>
      </c>
      <c r="P298" s="342">
        <f t="shared" si="121"/>
        <v>3.0304364394793747E-2</v>
      </c>
      <c r="Q298" s="343">
        <f t="shared" si="122"/>
        <v>0.88088092273982532</v>
      </c>
      <c r="R298" s="344">
        <f t="shared" si="123"/>
        <v>-40.254386550268094</v>
      </c>
      <c r="S298" s="346">
        <f t="shared" si="124"/>
        <v>139.74561344973191</v>
      </c>
      <c r="U298" s="319">
        <f t="shared" si="130"/>
        <v>1000000000</v>
      </c>
      <c r="V298" s="319">
        <f t="shared" si="131"/>
        <v>402764761</v>
      </c>
      <c r="X298" s="345">
        <f t="shared" si="125"/>
        <v>1.7473973499650564</v>
      </c>
      <c r="Y298" s="346">
        <f t="shared" si="126"/>
        <v>-17.850883725023063</v>
      </c>
      <c r="AA298" s="345">
        <f t="shared" si="127"/>
        <v>32.357112441707152</v>
      </c>
      <c r="AB298" s="346">
        <f t="shared" si="128"/>
        <v>-22.403502825245031</v>
      </c>
      <c r="AD298">
        <f t="shared" si="132"/>
        <v>0</v>
      </c>
      <c r="AE298">
        <f t="shared" si="135"/>
        <v>0</v>
      </c>
    </row>
    <row r="299" spans="1:31" x14ac:dyDescent="0.2">
      <c r="A299" s="347">
        <v>20185</v>
      </c>
      <c r="B299" s="364">
        <f t="shared" si="129"/>
        <v>20.184999999999999</v>
      </c>
      <c r="C299" s="337">
        <f t="shared" si="110"/>
        <v>1.0700354590079795</v>
      </c>
      <c r="D299" s="338">
        <f t="shared" si="111"/>
        <v>0.36380831470636943</v>
      </c>
      <c r="E299" s="338">
        <f t="shared" si="112"/>
        <v>1.0000007106287936</v>
      </c>
      <c r="F299" s="339">
        <f t="shared" si="113"/>
        <v>1.1921647308456571E-3</v>
      </c>
      <c r="G299" s="338">
        <f t="shared" si="114"/>
        <v>1</v>
      </c>
      <c r="H299" s="339">
        <f t="shared" si="115"/>
        <v>0</v>
      </c>
      <c r="I299" s="337">
        <f t="shared" si="116"/>
        <v>219158.83476824831</v>
      </c>
      <c r="J299" s="340">
        <f t="shared" si="117"/>
        <v>1.5707917638941993</v>
      </c>
      <c r="K299" s="348">
        <f t="shared" si="133"/>
        <v>3.4885203934436153</v>
      </c>
      <c r="L299" s="349">
        <f t="shared" si="134"/>
        <v>1.2800633902555238</v>
      </c>
      <c r="M299" s="337">
        <f t="shared" si="118"/>
        <v>1.0001872974933985</v>
      </c>
      <c r="N299" s="340">
        <f t="shared" si="119"/>
        <v>1.9352946258600491E-2</v>
      </c>
      <c r="O299" s="341">
        <f t="shared" si="120"/>
        <v>1.0000949546630513</v>
      </c>
      <c r="P299" s="342">
        <f t="shared" si="121"/>
        <v>3.0479546310357781E-2</v>
      </c>
      <c r="Q299" s="343">
        <f t="shared" si="122"/>
        <v>0.87041076973469067</v>
      </c>
      <c r="R299" s="344">
        <f t="shared" si="123"/>
        <v>-40.289075323934284</v>
      </c>
      <c r="S299" s="346">
        <f t="shared" si="124"/>
        <v>139.7109246760657</v>
      </c>
      <c r="U299" s="319">
        <f t="shared" si="130"/>
        <v>1000000000</v>
      </c>
      <c r="V299" s="319">
        <f t="shared" si="131"/>
        <v>407434225</v>
      </c>
      <c r="X299" s="345">
        <f t="shared" si="125"/>
        <v>1.7432433767378333</v>
      </c>
      <c r="Y299" s="346">
        <f t="shared" si="126"/>
        <v>-17.766350956260876</v>
      </c>
      <c r="AA299" s="345">
        <f t="shared" si="127"/>
        <v>32.35079626192924</v>
      </c>
      <c r="AB299" s="346">
        <f t="shared" si="128"/>
        <v>-22.522724367673405</v>
      </c>
      <c r="AD299">
        <f t="shared" si="132"/>
        <v>0</v>
      </c>
      <c r="AE299">
        <f t="shared" si="135"/>
        <v>0</v>
      </c>
    </row>
    <row r="300" spans="1:31" x14ac:dyDescent="0.2">
      <c r="A300" s="347">
        <v>20301</v>
      </c>
      <c r="B300" s="364">
        <f t="shared" si="129"/>
        <v>20.300999999999998</v>
      </c>
      <c r="C300" s="337">
        <f t="shared" si="110"/>
        <v>1.0708160338944912</v>
      </c>
      <c r="D300" s="338">
        <f t="shared" si="111"/>
        <v>0.36571801118116803</v>
      </c>
      <c r="E300" s="338">
        <f t="shared" si="112"/>
        <v>1.0000007188200024</v>
      </c>
      <c r="F300" s="339">
        <f t="shared" si="113"/>
        <v>1.1990159063034228E-3</v>
      </c>
      <c r="G300" s="338">
        <f t="shared" si="114"/>
        <v>1</v>
      </c>
      <c r="H300" s="339">
        <f t="shared" si="115"/>
        <v>0</v>
      </c>
      <c r="I300" s="337">
        <f t="shared" si="116"/>
        <v>220418.30590189158</v>
      </c>
      <c r="J300" s="340">
        <f t="shared" si="117"/>
        <v>1.570791789966633</v>
      </c>
      <c r="K300" s="348">
        <f t="shared" si="133"/>
        <v>3.5069253318313813</v>
      </c>
      <c r="L300" s="349">
        <f t="shared" si="134"/>
        <v>1.2816333330649434</v>
      </c>
      <c r="M300" s="337">
        <f t="shared" si="118"/>
        <v>1.0001894562127447</v>
      </c>
      <c r="N300" s="340">
        <f t="shared" si="119"/>
        <v>1.9464136569561117E-2</v>
      </c>
      <c r="O300" s="341">
        <f t="shared" si="120"/>
        <v>1.0000960499214226</v>
      </c>
      <c r="P300" s="342">
        <f t="shared" si="121"/>
        <v>3.0654728587140471E-2</v>
      </c>
      <c r="Q300" s="343">
        <f t="shared" si="122"/>
        <v>0.85998017546608074</v>
      </c>
      <c r="R300" s="344">
        <f t="shared" si="123"/>
        <v>-40.324558666123075</v>
      </c>
      <c r="S300" s="346">
        <f t="shared" si="124"/>
        <v>139.67544133387693</v>
      </c>
      <c r="U300" s="319">
        <f t="shared" si="130"/>
        <v>1000000000</v>
      </c>
      <c r="V300" s="319">
        <f t="shared" si="131"/>
        <v>412130601</v>
      </c>
      <c r="X300" s="345">
        <f t="shared" si="125"/>
        <v>1.7391561405065294</v>
      </c>
      <c r="Y300" s="346">
        <f t="shared" si="126"/>
        <v>-17.682772088489934</v>
      </c>
      <c r="AA300" s="345">
        <f t="shared" si="127"/>
        <v>32.344452903891934</v>
      </c>
      <c r="AB300" s="346">
        <f t="shared" si="128"/>
        <v>-22.64178657763313</v>
      </c>
      <c r="AD300">
        <f t="shared" si="132"/>
        <v>0</v>
      </c>
      <c r="AE300">
        <f t="shared" si="135"/>
        <v>0</v>
      </c>
    </row>
    <row r="301" spans="1:31" x14ac:dyDescent="0.2">
      <c r="A301" s="347">
        <v>20417</v>
      </c>
      <c r="B301" s="364">
        <f t="shared" si="129"/>
        <v>20.417000000000002</v>
      </c>
      <c r="C301" s="337">
        <f t="shared" si="110"/>
        <v>1.0716005082859461</v>
      </c>
      <c r="D301" s="338">
        <f t="shared" si="111"/>
        <v>0.36762491858234148</v>
      </c>
      <c r="E301" s="338">
        <f t="shared" si="112"/>
        <v>1.0000007270581499</v>
      </c>
      <c r="F301" s="339">
        <f t="shared" si="113"/>
        <v>1.205867081648628E-3</v>
      </c>
      <c r="G301" s="338">
        <f t="shared" si="114"/>
        <v>1</v>
      </c>
      <c r="H301" s="339">
        <f t="shared" si="115"/>
        <v>0</v>
      </c>
      <c r="I301" s="337">
        <f t="shared" si="116"/>
        <v>221677.77703553496</v>
      </c>
      <c r="J301" s="340">
        <f t="shared" si="117"/>
        <v>1.5707918157428038</v>
      </c>
      <c r="K301" s="348">
        <f t="shared" si="133"/>
        <v>3.5253388235451126</v>
      </c>
      <c r="L301" s="349">
        <f t="shared" si="134"/>
        <v>1.2831868794712842</v>
      </c>
      <c r="M301" s="337">
        <f t="shared" si="118"/>
        <v>1.0001916272976652</v>
      </c>
      <c r="N301" s="340">
        <f t="shared" si="119"/>
        <v>1.9575326399181695E-2</v>
      </c>
      <c r="O301" s="341">
        <f t="shared" si="120"/>
        <v>1.0000971514731265</v>
      </c>
      <c r="P301" s="342">
        <f t="shared" si="121"/>
        <v>3.0829911227209732E-2</v>
      </c>
      <c r="Q301" s="343">
        <f t="shared" si="122"/>
        <v>0.84958785791570635</v>
      </c>
      <c r="R301" s="344">
        <f t="shared" si="123"/>
        <v>-40.360821627128743</v>
      </c>
      <c r="S301" s="346">
        <f t="shared" si="124"/>
        <v>139.63917837287124</v>
      </c>
      <c r="U301" s="319">
        <f t="shared" si="130"/>
        <v>1000000000</v>
      </c>
      <c r="V301" s="319">
        <f t="shared" si="131"/>
        <v>416853889</v>
      </c>
      <c r="X301" s="345">
        <f t="shared" si="125"/>
        <v>1.7351342273957016</v>
      </c>
      <c r="Y301" s="346">
        <f t="shared" si="126"/>
        <v>-17.600132620862304</v>
      </c>
      <c r="AA301" s="345">
        <f t="shared" si="127"/>
        <v>32.338082499452383</v>
      </c>
      <c r="AB301" s="346">
        <f t="shared" si="128"/>
        <v>-22.760689006266443</v>
      </c>
      <c r="AD301">
        <f t="shared" si="132"/>
        <v>0</v>
      </c>
      <c r="AE301">
        <f t="shared" si="135"/>
        <v>0</v>
      </c>
    </row>
    <row r="302" spans="1:31" x14ac:dyDescent="0.2">
      <c r="A302" s="347">
        <v>20536</v>
      </c>
      <c r="B302" s="364">
        <f t="shared" si="129"/>
        <v>20.536000000000001</v>
      </c>
      <c r="C302" s="337">
        <f t="shared" si="110"/>
        <v>1.0724093139218203</v>
      </c>
      <c r="D302" s="338">
        <f t="shared" si="111"/>
        <v>0.36957823624785019</v>
      </c>
      <c r="E302" s="338">
        <f t="shared" si="112"/>
        <v>1.000000735558128</v>
      </c>
      <c r="F302" s="339">
        <f t="shared" si="113"/>
        <v>1.2128954424454673E-3</v>
      </c>
      <c r="G302" s="338">
        <f t="shared" si="114"/>
        <v>1</v>
      </c>
      <c r="H302" s="339">
        <f t="shared" si="115"/>
        <v>0</v>
      </c>
      <c r="I302" s="337">
        <f t="shared" si="116"/>
        <v>222969.82069849689</v>
      </c>
      <c r="J302" s="340">
        <f t="shared" si="117"/>
        <v>1.5707918418830065</v>
      </c>
      <c r="K302" s="348">
        <f t="shared" si="133"/>
        <v>3.5442372745249751</v>
      </c>
      <c r="L302" s="349">
        <f t="shared" si="134"/>
        <v>1.2847638258951302</v>
      </c>
      <c r="M302" s="337">
        <f t="shared" si="118"/>
        <v>1.0001938673806576</v>
      </c>
      <c r="N302" s="340">
        <f t="shared" si="119"/>
        <v>1.9689391324792267E-2</v>
      </c>
      <c r="O302" s="341">
        <f t="shared" si="120"/>
        <v>1.0000982880531184</v>
      </c>
      <c r="P302" s="342">
        <f t="shared" si="121"/>
        <v>3.1009624832466283E-2</v>
      </c>
      <c r="Q302" s="343">
        <f t="shared" si="122"/>
        <v>0.83896524306326048</v>
      </c>
      <c r="R302" s="344">
        <f t="shared" si="123"/>
        <v>-40.39881718309249</v>
      </c>
      <c r="S302" s="346">
        <f t="shared" si="124"/>
        <v>139.60118281690751</v>
      </c>
      <c r="U302" s="319">
        <f t="shared" si="130"/>
        <v>1000000000</v>
      </c>
      <c r="V302" s="319">
        <f t="shared" si="131"/>
        <v>421727296</v>
      </c>
      <c r="X302" s="345">
        <f t="shared" si="125"/>
        <v>1.7310747351820464</v>
      </c>
      <c r="Y302" s="346">
        <f t="shared" si="126"/>
        <v>-17.516317182713145</v>
      </c>
      <c r="AA302" s="345">
        <f t="shared" si="127"/>
        <v>32.331519376813596</v>
      </c>
      <c r="AB302" s="346">
        <f t="shared" si="128"/>
        <v>-22.882500000379352</v>
      </c>
      <c r="AD302">
        <f t="shared" si="132"/>
        <v>0</v>
      </c>
      <c r="AE302">
        <f t="shared" si="135"/>
        <v>0</v>
      </c>
    </row>
    <row r="303" spans="1:31" x14ac:dyDescent="0.2">
      <c r="A303" s="347">
        <v>20655</v>
      </c>
      <c r="B303" s="364">
        <f t="shared" si="129"/>
        <v>20.655000000000001</v>
      </c>
      <c r="C303" s="337">
        <f t="shared" si="110"/>
        <v>1.0732222051053677</v>
      </c>
      <c r="D303" s="338">
        <f t="shared" si="111"/>
        <v>0.37152860234093527</v>
      </c>
      <c r="E303" s="338">
        <f t="shared" si="112"/>
        <v>1.0000007441075041</v>
      </c>
      <c r="F303" s="339">
        <f t="shared" si="113"/>
        <v>1.2199238031224775E-3</v>
      </c>
      <c r="G303" s="338">
        <f t="shared" si="114"/>
        <v>1</v>
      </c>
      <c r="H303" s="339">
        <f t="shared" si="115"/>
        <v>0</v>
      </c>
      <c r="I303" s="337">
        <f t="shared" si="116"/>
        <v>224261.86436145895</v>
      </c>
      <c r="J303" s="340">
        <f t="shared" si="117"/>
        <v>1.570791867722005</v>
      </c>
      <c r="K303" s="348">
        <f t="shared" si="133"/>
        <v>3.5631444456666248</v>
      </c>
      <c r="L303" s="349">
        <f t="shared" si="134"/>
        <v>1.2863240406118706</v>
      </c>
      <c r="M303" s="337">
        <f t="shared" si="118"/>
        <v>1.0001961204769212</v>
      </c>
      <c r="N303" s="340">
        <f t="shared" si="119"/>
        <v>1.9803455737989174E-2</v>
      </c>
      <c r="O303" s="341">
        <f t="shared" si="120"/>
        <v>1.0000994312567955</v>
      </c>
      <c r="P303" s="342">
        <f t="shared" si="121"/>
        <v>3.118933882445139E-2</v>
      </c>
      <c r="Q303" s="343">
        <f t="shared" si="122"/>
        <v>0.82838029468299612</v>
      </c>
      <c r="R303" s="344">
        <f t="shared" si="123"/>
        <v>-40.437602258163466</v>
      </c>
      <c r="S303" s="346">
        <f t="shared" si="124"/>
        <v>139.56239774183655</v>
      </c>
      <c r="U303" s="319">
        <f t="shared" si="130"/>
        <v>1000000000</v>
      </c>
      <c r="V303" s="319">
        <f t="shared" si="131"/>
        <v>426629025</v>
      </c>
      <c r="X303" s="345">
        <f t="shared" si="125"/>
        <v>1.7270810914565058</v>
      </c>
      <c r="Y303" s="346">
        <f t="shared" si="126"/>
        <v>-17.433460354149425</v>
      </c>
      <c r="AA303" s="345">
        <f t="shared" si="127"/>
        <v>32.324928072158869</v>
      </c>
      <c r="AB303" s="346">
        <f t="shared" si="128"/>
        <v>-23.004141904014052</v>
      </c>
      <c r="AD303">
        <f t="shared" si="132"/>
        <v>0</v>
      </c>
      <c r="AE303">
        <f t="shared" si="135"/>
        <v>0</v>
      </c>
    </row>
    <row r="304" spans="1:31" x14ac:dyDescent="0.2">
      <c r="A304" s="347">
        <v>20774</v>
      </c>
      <c r="B304" s="364">
        <f t="shared" si="129"/>
        <v>20.774000000000001</v>
      </c>
      <c r="C304" s="337">
        <f t="shared" si="110"/>
        <v>1.0740391725600951</v>
      </c>
      <c r="D304" s="338">
        <f t="shared" si="111"/>
        <v>0.37347600874211401</v>
      </c>
      <c r="E304" s="338">
        <f t="shared" si="112"/>
        <v>1.0000007527062782</v>
      </c>
      <c r="F304" s="339">
        <f t="shared" si="113"/>
        <v>1.2269521636789646E-3</v>
      </c>
      <c r="G304" s="338">
        <f t="shared" si="114"/>
        <v>1</v>
      </c>
      <c r="H304" s="339">
        <f t="shared" si="115"/>
        <v>0</v>
      </c>
      <c r="I304" s="337">
        <f t="shared" si="116"/>
        <v>225553.90802442114</v>
      </c>
      <c r="J304" s="340">
        <f t="shared" si="117"/>
        <v>1.5707918932649758</v>
      </c>
      <c r="K304" s="348">
        <f t="shared" si="133"/>
        <v>3.5820601988873015</v>
      </c>
      <c r="L304" s="349">
        <f t="shared" si="134"/>
        <v>1.2878677810297237</v>
      </c>
      <c r="M304" s="337">
        <f t="shared" si="118"/>
        <v>1.0001983865863682</v>
      </c>
      <c r="N304" s="340">
        <f t="shared" si="119"/>
        <v>1.9917519635807776E-2</v>
      </c>
      <c r="O304" s="341">
        <f t="shared" si="120"/>
        <v>1.0001005810844776</v>
      </c>
      <c r="P304" s="342">
        <f t="shared" si="121"/>
        <v>3.1369053205397131E-2</v>
      </c>
      <c r="Q304" s="343">
        <f t="shared" si="122"/>
        <v>0.81783174566166406</v>
      </c>
      <c r="R304" s="344">
        <f t="shared" si="123"/>
        <v>-40.477161638979695</v>
      </c>
      <c r="S304" s="346">
        <f t="shared" si="124"/>
        <v>139.52283836102032</v>
      </c>
      <c r="U304" s="319">
        <f t="shared" si="130"/>
        <v>1000000000</v>
      </c>
      <c r="V304" s="319">
        <f t="shared" si="131"/>
        <v>431559076</v>
      </c>
      <c r="X304" s="345">
        <f t="shared" si="125"/>
        <v>1.723151886454368</v>
      </c>
      <c r="Y304" s="346">
        <f t="shared" si="126"/>
        <v>-17.351547386893323</v>
      </c>
      <c r="AA304" s="345">
        <f t="shared" si="127"/>
        <v>32.318308728139677</v>
      </c>
      <c r="AB304" s="346">
        <f t="shared" si="128"/>
        <v>-23.125614252086368</v>
      </c>
      <c r="AD304">
        <f t="shared" si="132"/>
        <v>0</v>
      </c>
      <c r="AE304">
        <f t="shared" si="135"/>
        <v>0</v>
      </c>
    </row>
    <row r="305" spans="1:31" x14ac:dyDescent="0.2">
      <c r="A305" s="347">
        <v>20893</v>
      </c>
      <c r="B305" s="364">
        <f t="shared" si="129"/>
        <v>20.893000000000001</v>
      </c>
      <c r="C305" s="337">
        <f t="shared" si="110"/>
        <v>1.0748602069912656</v>
      </c>
      <c r="D305" s="338">
        <f t="shared" si="111"/>
        <v>0.3754204474463213</v>
      </c>
      <c r="E305" s="338">
        <f t="shared" si="112"/>
        <v>1.0000007613544499</v>
      </c>
      <c r="F305" s="339">
        <f t="shared" si="113"/>
        <v>1.2339805241142338E-3</v>
      </c>
      <c r="G305" s="338">
        <f t="shared" si="114"/>
        <v>1</v>
      </c>
      <c r="H305" s="339">
        <f t="shared" si="115"/>
        <v>0</v>
      </c>
      <c r="I305" s="337">
        <f t="shared" si="116"/>
        <v>226845.95168738352</v>
      </c>
      <c r="J305" s="340">
        <f t="shared" si="117"/>
        <v>1.570791918516977</v>
      </c>
      <c r="K305" s="348">
        <f t="shared" si="133"/>
        <v>3.6009843989435804</v>
      </c>
      <c r="L305" s="349">
        <f t="shared" si="134"/>
        <v>1.2893952994636728</v>
      </c>
      <c r="M305" s="337">
        <f t="shared" si="118"/>
        <v>1.0002006657089098</v>
      </c>
      <c r="N305" s="340">
        <f t="shared" si="119"/>
        <v>2.0031583015283506E-2</v>
      </c>
      <c r="O305" s="341">
        <f t="shared" si="120"/>
        <v>1.0001017375364865</v>
      </c>
      <c r="P305" s="342">
        <f t="shared" si="121"/>
        <v>3.1548767977535419E-2</v>
      </c>
      <c r="Q305" s="343">
        <f t="shared" si="122"/>
        <v>0.80731836595333994</v>
      </c>
      <c r="R305" s="344">
        <f t="shared" si="123"/>
        <v>-40.517480410548913</v>
      </c>
      <c r="S305" s="346">
        <f t="shared" si="124"/>
        <v>139.4825195894511</v>
      </c>
      <c r="U305" s="319">
        <f t="shared" si="130"/>
        <v>1000000000</v>
      </c>
      <c r="V305" s="319">
        <f t="shared" si="131"/>
        <v>436517449</v>
      </c>
      <c r="X305" s="345">
        <f t="shared" si="125"/>
        <v>1.719285747393891</v>
      </c>
      <c r="Y305" s="346">
        <f t="shared" si="126"/>
        <v>-17.270563824481119</v>
      </c>
      <c r="AA305" s="345">
        <f t="shared" si="127"/>
        <v>32.311661487491826</v>
      </c>
      <c r="AB305" s="346">
        <f t="shared" si="128"/>
        <v>-23.246916586067783</v>
      </c>
      <c r="AD305">
        <f t="shared" si="132"/>
        <v>0</v>
      </c>
      <c r="AE305">
        <f t="shared" si="135"/>
        <v>0</v>
      </c>
    </row>
    <row r="306" spans="1:31" x14ac:dyDescent="0.2">
      <c r="A306" s="347">
        <v>21014.75</v>
      </c>
      <c r="B306" s="364">
        <f t="shared" si="129"/>
        <v>21.014749999999999</v>
      </c>
      <c r="C306" s="337">
        <f t="shared" si="110"/>
        <v>1.0757044142345147</v>
      </c>
      <c r="D306" s="338">
        <f t="shared" si="111"/>
        <v>0.3774067410683673</v>
      </c>
      <c r="E306" s="338">
        <f t="shared" si="112"/>
        <v>1.000000770253598</v>
      </c>
      <c r="F306" s="339">
        <f t="shared" si="113"/>
        <v>1.2411713045174194E-3</v>
      </c>
      <c r="G306" s="338">
        <f t="shared" si="114"/>
        <v>1</v>
      </c>
      <c r="H306" s="339">
        <f t="shared" si="115"/>
        <v>0</v>
      </c>
      <c r="I306" s="337">
        <f t="shared" si="116"/>
        <v>228167.8535022212</v>
      </c>
      <c r="J306" s="340">
        <f t="shared" si="117"/>
        <v>1.5707919440565543</v>
      </c>
      <c r="K306" s="348">
        <f t="shared" si="133"/>
        <v>3.6203545266994506</v>
      </c>
      <c r="L306" s="349">
        <f t="shared" si="134"/>
        <v>1.2909415869864052</v>
      </c>
      <c r="M306" s="337">
        <f t="shared" si="118"/>
        <v>1.0002030109678108</v>
      </c>
      <c r="N306" s="340">
        <f t="shared" si="119"/>
        <v>2.0148281773651803E-2</v>
      </c>
      <c r="O306" s="341">
        <f t="shared" si="120"/>
        <v>1.0001029275692843</v>
      </c>
      <c r="P306" s="342">
        <f t="shared" si="121"/>
        <v>3.173263622932386E-2</v>
      </c>
      <c r="Q306" s="343">
        <f t="shared" si="122"/>
        <v>0.79659718264876811</v>
      </c>
      <c r="R306" s="344">
        <f t="shared" si="123"/>
        <v>-40.559501586131937</v>
      </c>
      <c r="S306" s="346">
        <f t="shared" si="124"/>
        <v>139.44049841386806</v>
      </c>
      <c r="U306" s="319">
        <f t="shared" si="130"/>
        <v>1000000000</v>
      </c>
      <c r="V306" s="319">
        <f t="shared" si="131"/>
        <v>441619717.5625</v>
      </c>
      <c r="X306" s="345">
        <f t="shared" si="125"/>
        <v>1.7153941395840733</v>
      </c>
      <c r="Y306" s="346">
        <f t="shared" si="126"/>
        <v>-17.188655885060136</v>
      </c>
      <c r="AA306" s="345">
        <f t="shared" si="127"/>
        <v>32.304831911997077</v>
      </c>
      <c r="AB306" s="346">
        <f t="shared" si="128"/>
        <v>-23.370845701071801</v>
      </c>
      <c r="AD306">
        <f t="shared" si="132"/>
        <v>0</v>
      </c>
      <c r="AE306">
        <f t="shared" si="135"/>
        <v>0</v>
      </c>
    </row>
    <row r="307" spans="1:31" x14ac:dyDescent="0.2">
      <c r="A307" s="347">
        <v>21136.5</v>
      </c>
      <c r="B307" s="364">
        <f t="shared" si="129"/>
        <v>21.136500000000002</v>
      </c>
      <c r="C307" s="337">
        <f t="shared" si="110"/>
        <v>1.0765528588555471</v>
      </c>
      <c r="D307" s="338">
        <f t="shared" si="111"/>
        <v>0.37938991165935543</v>
      </c>
      <c r="E307" s="338">
        <f t="shared" si="112"/>
        <v>1.0000007792044534</v>
      </c>
      <c r="F307" s="339">
        <f t="shared" si="113"/>
        <v>1.2483620847922499E-3</v>
      </c>
      <c r="G307" s="338">
        <f t="shared" si="114"/>
        <v>1</v>
      </c>
      <c r="H307" s="339">
        <f t="shared" si="115"/>
        <v>0</v>
      </c>
      <c r="I307" s="337">
        <f t="shared" si="116"/>
        <v>229489.75531705903</v>
      </c>
      <c r="J307" s="340">
        <f t="shared" si="117"/>
        <v>1.570791969301907</v>
      </c>
      <c r="K307" s="348">
        <f t="shared" si="133"/>
        <v>3.6397332185944924</v>
      </c>
      <c r="L307" s="349">
        <f t="shared" si="134"/>
        <v>1.2924714126258776</v>
      </c>
      <c r="M307" s="337">
        <f t="shared" si="118"/>
        <v>1.0002053698480127</v>
      </c>
      <c r="N307" s="340">
        <f t="shared" si="119"/>
        <v>2.0264979983165617E-2</v>
      </c>
      <c r="O307" s="341">
        <f t="shared" si="120"/>
        <v>1.0001041245368005</v>
      </c>
      <c r="P307" s="342">
        <f t="shared" si="121"/>
        <v>3.1916504895320115E-2</v>
      </c>
      <c r="Q307" s="343">
        <f t="shared" si="122"/>
        <v>0.78591032194246691</v>
      </c>
      <c r="R307" s="344">
        <f t="shared" si="123"/>
        <v>-40.6022869970854</v>
      </c>
      <c r="S307" s="346">
        <f t="shared" si="124"/>
        <v>139.3977130029146</v>
      </c>
      <c r="U307" s="319">
        <f t="shared" si="130"/>
        <v>1000000000</v>
      </c>
      <c r="V307" s="319">
        <f t="shared" si="131"/>
        <v>446751632.25</v>
      </c>
      <c r="X307" s="345">
        <f t="shared" si="125"/>
        <v>1.711565752732028</v>
      </c>
      <c r="Y307" s="346">
        <f t="shared" si="126"/>
        <v>-17.107691093768981</v>
      </c>
      <c r="AA307" s="345">
        <f t="shared" si="127"/>
        <v>32.297973438142819</v>
      </c>
      <c r="AB307" s="346">
        <f t="shared" si="128"/>
        <v>-23.494595903316423</v>
      </c>
      <c r="AD307">
        <f t="shared" si="132"/>
        <v>0</v>
      </c>
      <c r="AE307">
        <f t="shared" si="135"/>
        <v>0</v>
      </c>
    </row>
    <row r="308" spans="1:31" x14ac:dyDescent="0.2">
      <c r="A308" s="347">
        <v>21258.25</v>
      </c>
      <c r="B308" s="364">
        <f t="shared" si="129"/>
        <v>21.25825</v>
      </c>
      <c r="C308" s="337">
        <f t="shared" si="110"/>
        <v>1.0774055308437018</v>
      </c>
      <c r="D308" s="338">
        <f t="shared" si="111"/>
        <v>0.38136995101633109</v>
      </c>
      <c r="E308" s="338">
        <f t="shared" si="112"/>
        <v>1.0000007882070161</v>
      </c>
      <c r="F308" s="339">
        <f t="shared" si="113"/>
        <v>1.2555528649379809E-3</v>
      </c>
      <c r="G308" s="338">
        <f t="shared" si="114"/>
        <v>1</v>
      </c>
      <c r="H308" s="339">
        <f t="shared" si="115"/>
        <v>0</v>
      </c>
      <c r="I308" s="337">
        <f t="shared" si="116"/>
        <v>230811.65713189699</v>
      </c>
      <c r="J308" s="340">
        <f t="shared" si="117"/>
        <v>1.5707919942580897</v>
      </c>
      <c r="K308" s="348">
        <f t="shared" si="133"/>
        <v>3.6591203385617312</v>
      </c>
      <c r="L308" s="349">
        <f t="shared" si="134"/>
        <v>1.2939850308239524</v>
      </c>
      <c r="M308" s="337">
        <f t="shared" si="118"/>
        <v>1.0002077423494191</v>
      </c>
      <c r="N308" s="340">
        <f t="shared" si="119"/>
        <v>2.038167764065035E-2</v>
      </c>
      <c r="O308" s="341">
        <f t="shared" si="120"/>
        <v>1.000105328439385</v>
      </c>
      <c r="P308" s="342">
        <f t="shared" si="121"/>
        <v>3.2100373977913946E-2</v>
      </c>
      <c r="Q308" s="343">
        <f t="shared" si="122"/>
        <v>0.77525657961724104</v>
      </c>
      <c r="R308" s="344">
        <f t="shared" si="123"/>
        <v>-40.645821595214464</v>
      </c>
      <c r="S308" s="346">
        <f t="shared" si="124"/>
        <v>139.35417840478553</v>
      </c>
      <c r="U308" s="319">
        <f t="shared" si="130"/>
        <v>1000000000</v>
      </c>
      <c r="V308" s="319">
        <f t="shared" si="131"/>
        <v>451913193.0625</v>
      </c>
      <c r="X308" s="345">
        <f t="shared" si="125"/>
        <v>1.7077992295366997</v>
      </c>
      <c r="Y308" s="346">
        <f t="shared" si="126"/>
        <v>-17.027654872270517</v>
      </c>
      <c r="AA308" s="345">
        <f t="shared" si="127"/>
        <v>32.291086219012918</v>
      </c>
      <c r="AB308" s="346">
        <f t="shared" si="128"/>
        <v>-23.618166722943936</v>
      </c>
      <c r="AD308">
        <f t="shared" si="132"/>
        <v>0</v>
      </c>
      <c r="AE308">
        <f t="shared" si="135"/>
        <v>0</v>
      </c>
    </row>
    <row r="309" spans="1:31" x14ac:dyDescent="0.2">
      <c r="A309" s="347">
        <v>21380</v>
      </c>
      <c r="B309" s="364">
        <f t="shared" si="129"/>
        <v>21.38</v>
      </c>
      <c r="C309" s="337">
        <f t="shared" si="110"/>
        <v>1.0782624201701845</v>
      </c>
      <c r="D309" s="338">
        <f t="shared" si="111"/>
        <v>0.38334685106043076</v>
      </c>
      <c r="E309" s="338">
        <f t="shared" si="112"/>
        <v>1.0000007972612861</v>
      </c>
      <c r="F309" s="339">
        <f t="shared" si="113"/>
        <v>1.2627436449538696E-3</v>
      </c>
      <c r="G309" s="338">
        <f t="shared" si="114"/>
        <v>1</v>
      </c>
      <c r="H309" s="339">
        <f t="shared" si="115"/>
        <v>0</v>
      </c>
      <c r="I309" s="337">
        <f t="shared" si="116"/>
        <v>232133.55894673517</v>
      </c>
      <c r="J309" s="340">
        <f t="shared" si="117"/>
        <v>1.5707920189300426</v>
      </c>
      <c r="K309" s="348">
        <f t="shared" si="133"/>
        <v>3.6785157533441248</v>
      </c>
      <c r="L309" s="349">
        <f t="shared" si="134"/>
        <v>1.2954826909567576</v>
      </c>
      <c r="M309" s="337">
        <f t="shared" si="118"/>
        <v>1.0002101284719331</v>
      </c>
      <c r="N309" s="340">
        <f t="shared" si="119"/>
        <v>2.049837474293148E-2</v>
      </c>
      <c r="O309" s="341">
        <f t="shared" si="120"/>
        <v>1.0001065392773909</v>
      </c>
      <c r="P309" s="342">
        <f t="shared" si="121"/>
        <v>3.228424347949492E-2</v>
      </c>
      <c r="Q309" s="343">
        <f t="shared" si="122"/>
        <v>0.76463478723289979</v>
      </c>
      <c r="R309" s="344">
        <f t="shared" si="123"/>
        <v>-40.690090629672767</v>
      </c>
      <c r="S309" s="346">
        <f t="shared" si="124"/>
        <v>139.30990937032723</v>
      </c>
      <c r="U309" s="319">
        <f t="shared" si="130"/>
        <v>1000000000</v>
      </c>
      <c r="V309" s="319">
        <f t="shared" si="131"/>
        <v>457104400</v>
      </c>
      <c r="X309" s="345">
        <f t="shared" si="125"/>
        <v>1.7040932484166302</v>
      </c>
      <c r="Y309" s="346">
        <f t="shared" si="126"/>
        <v>-16.948532932466264</v>
      </c>
      <c r="AA309" s="345">
        <f t="shared" si="127"/>
        <v>32.284170407748654</v>
      </c>
      <c r="AB309" s="346">
        <f t="shared" si="128"/>
        <v>-23.741557697206517</v>
      </c>
      <c r="AD309">
        <f t="shared" si="132"/>
        <v>0</v>
      </c>
      <c r="AE309">
        <f t="shared" si="135"/>
        <v>0</v>
      </c>
    </row>
    <row r="310" spans="1:31" x14ac:dyDescent="0.2">
      <c r="A310" s="347">
        <v>21504.5</v>
      </c>
      <c r="B310" s="364">
        <f t="shared" si="129"/>
        <v>21.5045</v>
      </c>
      <c r="C310" s="337">
        <f t="shared" si="110"/>
        <v>1.0791430151200181</v>
      </c>
      <c r="D310" s="338">
        <f t="shared" si="111"/>
        <v>0.38536514911326825</v>
      </c>
      <c r="E310" s="338">
        <f t="shared" si="112"/>
        <v>1.00000080657354</v>
      </c>
      <c r="F310" s="339">
        <f t="shared" si="113"/>
        <v>1.2700968449172031E-3</v>
      </c>
      <c r="G310" s="338">
        <f t="shared" si="114"/>
        <v>1</v>
      </c>
      <c r="H310" s="339">
        <f t="shared" si="115"/>
        <v>0</v>
      </c>
      <c r="I310" s="337">
        <f t="shared" si="116"/>
        <v>233485.3189134486</v>
      </c>
      <c r="J310" s="340">
        <f t="shared" si="117"/>
        <v>1.5707920438703655</v>
      </c>
      <c r="K310" s="348">
        <f t="shared" si="133"/>
        <v>3.6983576995708423</v>
      </c>
      <c r="L310" s="349">
        <f t="shared" si="134"/>
        <v>1.2969979309824684</v>
      </c>
      <c r="M310" s="337">
        <f t="shared" si="118"/>
        <v>1.0002125825764145</v>
      </c>
      <c r="N310" s="340">
        <f t="shared" si="119"/>
        <v>2.06177071365891E-2</v>
      </c>
      <c r="O310" s="341">
        <f t="shared" si="120"/>
        <v>1.0001077846374586</v>
      </c>
      <c r="P310" s="342">
        <f t="shared" si="121"/>
        <v>3.2472266526747125E-2</v>
      </c>
      <c r="Q310" s="343">
        <f t="shared" si="122"/>
        <v>0.7538049370388844</v>
      </c>
      <c r="R310" s="344">
        <f t="shared" si="123"/>
        <v>-40.736104022755818</v>
      </c>
      <c r="S310" s="346">
        <f t="shared" si="124"/>
        <v>139.26389597724418</v>
      </c>
      <c r="U310" s="319">
        <f t="shared" si="130"/>
        <v>1000000000</v>
      </c>
      <c r="V310" s="319">
        <f t="shared" si="131"/>
        <v>462443520.25</v>
      </c>
      <c r="X310" s="345">
        <f t="shared" si="125"/>
        <v>1.7003648273192455</v>
      </c>
      <c r="Y310" s="346">
        <f t="shared" si="126"/>
        <v>-16.868554745443376</v>
      </c>
      <c r="AA310" s="345">
        <f t="shared" si="127"/>
        <v>32.277068978652018</v>
      </c>
      <c r="AB310" s="346">
        <f t="shared" si="128"/>
        <v>-23.867549277312467</v>
      </c>
      <c r="AD310">
        <f t="shared" si="132"/>
        <v>0</v>
      </c>
      <c r="AE310">
        <f t="shared" si="135"/>
        <v>0</v>
      </c>
    </row>
    <row r="311" spans="1:31" x14ac:dyDescent="0.2">
      <c r="A311" s="347">
        <v>21629</v>
      </c>
      <c r="B311" s="364">
        <f t="shared" si="129"/>
        <v>21.629000000000001</v>
      </c>
      <c r="C311" s="337">
        <f t="shared" si="110"/>
        <v>1.0800279988092811</v>
      </c>
      <c r="D311" s="338">
        <f t="shared" si="111"/>
        <v>0.38738014774353513</v>
      </c>
      <c r="E311" s="338">
        <f t="shared" si="112"/>
        <v>1.0000008159398632</v>
      </c>
      <c r="F311" s="339">
        <f t="shared" si="113"/>
        <v>1.2774500447431893E-3</v>
      </c>
      <c r="G311" s="338">
        <f t="shared" si="114"/>
        <v>1</v>
      </c>
      <c r="H311" s="339">
        <f t="shared" si="115"/>
        <v>0</v>
      </c>
      <c r="I311" s="337">
        <f t="shared" si="116"/>
        <v>234837.07888016221</v>
      </c>
      <c r="J311" s="340">
        <f t="shared" si="117"/>
        <v>1.5707920685235675</v>
      </c>
      <c r="K311" s="348">
        <f t="shared" si="133"/>
        <v>3.7182080464133502</v>
      </c>
      <c r="L311" s="349">
        <f t="shared" si="134"/>
        <v>1.2984969956366792</v>
      </c>
      <c r="M311" s="337">
        <f t="shared" si="118"/>
        <v>1.0002150509240733</v>
      </c>
      <c r="N311" s="340">
        <f t="shared" si="119"/>
        <v>2.0737038942965011E-2</v>
      </c>
      <c r="O311" s="341">
        <f t="shared" si="120"/>
        <v>1.0001090372505426</v>
      </c>
      <c r="P311" s="342">
        <f t="shared" si="121"/>
        <v>3.2660290017181147E-2</v>
      </c>
      <c r="Q311" s="343">
        <f t="shared" si="122"/>
        <v>0.74300613491406309</v>
      </c>
      <c r="R311" s="344">
        <f t="shared" si="123"/>
        <v>-40.782855128671358</v>
      </c>
      <c r="S311" s="346">
        <f t="shared" si="124"/>
        <v>139.21714487132863</v>
      </c>
      <c r="U311" s="319">
        <f t="shared" si="130"/>
        <v>1000000000</v>
      </c>
      <c r="V311" s="319">
        <f t="shared" si="131"/>
        <v>467813641</v>
      </c>
      <c r="X311" s="345">
        <f t="shared" si="125"/>
        <v>1.6966970286105814</v>
      </c>
      <c r="Y311" s="346">
        <f t="shared" si="126"/>
        <v>-16.789503288840962</v>
      </c>
      <c r="AA311" s="345">
        <f t="shared" si="127"/>
        <v>32.269937975235862</v>
      </c>
      <c r="AB311" s="346">
        <f t="shared" si="128"/>
        <v>-23.993351839830396</v>
      </c>
      <c r="AD311">
        <f t="shared" si="132"/>
        <v>0</v>
      </c>
      <c r="AE311">
        <f t="shared" si="135"/>
        <v>0</v>
      </c>
    </row>
    <row r="312" spans="1:31" x14ac:dyDescent="0.2">
      <c r="A312" s="347">
        <v>21753.5</v>
      </c>
      <c r="B312" s="364">
        <f t="shared" si="129"/>
        <v>21.753499999999999</v>
      </c>
      <c r="C312" s="337">
        <f t="shared" si="110"/>
        <v>1.0809173604583446</v>
      </c>
      <c r="D312" s="338">
        <f t="shared" si="111"/>
        <v>0.38939183871275029</v>
      </c>
      <c r="E312" s="338">
        <f t="shared" si="112"/>
        <v>1.0000008253602561</v>
      </c>
      <c r="F312" s="339">
        <f t="shared" si="113"/>
        <v>1.2848032444310329E-3</v>
      </c>
      <c r="G312" s="338">
        <f t="shared" si="114"/>
        <v>1</v>
      </c>
      <c r="H312" s="339">
        <f t="shared" si="115"/>
        <v>0</v>
      </c>
      <c r="I312" s="337">
        <f t="shared" si="116"/>
        <v>236188.83884687594</v>
      </c>
      <c r="J312" s="340">
        <f t="shared" si="117"/>
        <v>1.5707920928945782</v>
      </c>
      <c r="K312" s="348">
        <f t="shared" si="133"/>
        <v>3.7380666600416643</v>
      </c>
      <c r="L312" s="349">
        <f t="shared" si="134"/>
        <v>1.2999801359245284</v>
      </c>
      <c r="M312" s="337">
        <f t="shared" si="118"/>
        <v>1.000217533514804</v>
      </c>
      <c r="N312" s="340">
        <f t="shared" si="119"/>
        <v>2.0856370158664993E-2</v>
      </c>
      <c r="O312" s="341">
        <f t="shared" si="120"/>
        <v>1.0001102971170261</v>
      </c>
      <c r="P312" s="342">
        <f t="shared" si="121"/>
        <v>3.2848313953351631E-2</v>
      </c>
      <c r="Q312" s="343">
        <f t="shared" si="122"/>
        <v>0.73223724036475801</v>
      </c>
      <c r="R312" s="344">
        <f t="shared" si="123"/>
        <v>-40.830329094088434</v>
      </c>
      <c r="S312" s="346">
        <f t="shared" si="124"/>
        <v>139.16967090591157</v>
      </c>
      <c r="U312" s="319">
        <f t="shared" si="130"/>
        <v>1000000000</v>
      </c>
      <c r="V312" s="319">
        <f t="shared" si="131"/>
        <v>473214762.25</v>
      </c>
      <c r="X312" s="345">
        <f t="shared" si="125"/>
        <v>1.6930885479127249</v>
      </c>
      <c r="Y312" s="346">
        <f t="shared" si="126"/>
        <v>-16.711364181211927</v>
      </c>
      <c r="AA312" s="345">
        <f t="shared" si="127"/>
        <v>32.262777561384411</v>
      </c>
      <c r="AB312" s="346">
        <f t="shared" si="128"/>
        <v>-24.118964912876518</v>
      </c>
      <c r="AD312">
        <f t="shared" si="132"/>
        <v>0</v>
      </c>
      <c r="AE312">
        <f t="shared" si="135"/>
        <v>0</v>
      </c>
    </row>
    <row r="313" spans="1:31" x14ac:dyDescent="0.2">
      <c r="A313" s="347">
        <v>21878</v>
      </c>
      <c r="B313" s="364">
        <f t="shared" si="129"/>
        <v>21.878</v>
      </c>
      <c r="C313" s="337">
        <f t="shared" si="110"/>
        <v>1.0818110892697885</v>
      </c>
      <c r="D313" s="338">
        <f t="shared" si="111"/>
        <v>0.39140021391654289</v>
      </c>
      <c r="E313" s="338">
        <f t="shared" si="112"/>
        <v>1.0000008348347187</v>
      </c>
      <c r="F313" s="339">
        <f t="shared" si="113"/>
        <v>1.2921564439799392E-3</v>
      </c>
      <c r="G313" s="338">
        <f t="shared" si="114"/>
        <v>1</v>
      </c>
      <c r="H313" s="339">
        <f t="shared" si="115"/>
        <v>0</v>
      </c>
      <c r="I313" s="337">
        <f t="shared" si="116"/>
        <v>237540.59881358984</v>
      </c>
      <c r="J313" s="340">
        <f t="shared" si="117"/>
        <v>1.5707921169882151</v>
      </c>
      <c r="K313" s="348">
        <f t="shared" si="133"/>
        <v>3.7579334093995223</v>
      </c>
      <c r="L313" s="349">
        <f t="shared" si="134"/>
        <v>1.3014475978268412</v>
      </c>
      <c r="M313" s="337">
        <f t="shared" si="118"/>
        <v>1.0002200303485005</v>
      </c>
      <c r="N313" s="340">
        <f t="shared" si="119"/>
        <v>2.0975700780294915E-2</v>
      </c>
      <c r="O313" s="341">
        <f t="shared" si="120"/>
        <v>1.0001115642372953</v>
      </c>
      <c r="P313" s="342">
        <f t="shared" si="121"/>
        <v>3.303633833781297E-2</v>
      </c>
      <c r="Q313" s="343">
        <f t="shared" si="122"/>
        <v>0.72149714733612547</v>
      </c>
      <c r="R313" s="344">
        <f t="shared" si="123"/>
        <v>-40.878511361225662</v>
      </c>
      <c r="S313" s="346">
        <f t="shared" si="124"/>
        <v>139.12148863877434</v>
      </c>
      <c r="U313" s="319">
        <f t="shared" si="130"/>
        <v>1000000000</v>
      </c>
      <c r="V313" s="319">
        <f t="shared" si="131"/>
        <v>478646884</v>
      </c>
      <c r="X313" s="345">
        <f t="shared" si="125"/>
        <v>1.6895381152618152</v>
      </c>
      <c r="Y313" s="346">
        <f t="shared" si="126"/>
        <v>-16.634123328974677</v>
      </c>
      <c r="AA313" s="345">
        <f t="shared" si="127"/>
        <v>32.255587901006692</v>
      </c>
      <c r="AB313" s="346">
        <f t="shared" si="128"/>
        <v>-24.244388032250981</v>
      </c>
      <c r="AD313">
        <f t="shared" si="132"/>
        <v>0</v>
      </c>
      <c r="AE313">
        <f t="shared" si="135"/>
        <v>0</v>
      </c>
    </row>
    <row r="314" spans="1:31" x14ac:dyDescent="0.2">
      <c r="A314" s="347">
        <v>22005.25</v>
      </c>
      <c r="B314" s="364">
        <f t="shared" si="129"/>
        <v>22.00525</v>
      </c>
      <c r="C314" s="337">
        <f t="shared" si="110"/>
        <v>1.0827290607439151</v>
      </c>
      <c r="D314" s="338">
        <f t="shared" si="111"/>
        <v>0.39344951609103573</v>
      </c>
      <c r="E314" s="338">
        <f t="shared" si="112"/>
        <v>1.0000008445743307</v>
      </c>
      <c r="F314" s="339">
        <f t="shared" si="113"/>
        <v>1.2996720634548002E-3</v>
      </c>
      <c r="G314" s="338">
        <f t="shared" si="114"/>
        <v>1</v>
      </c>
      <c r="H314" s="339">
        <f t="shared" si="115"/>
        <v>0</v>
      </c>
      <c r="I314" s="337">
        <f t="shared" si="116"/>
        <v>238922.21693217906</v>
      </c>
      <c r="J314" s="340">
        <f t="shared" si="117"/>
        <v>1.5707921413323103</v>
      </c>
      <c r="K314" s="348">
        <f t="shared" si="133"/>
        <v>3.7782472562120142</v>
      </c>
      <c r="L314" s="349">
        <f t="shared" si="134"/>
        <v>1.302931522802159</v>
      </c>
      <c r="M314" s="337">
        <f t="shared" si="118"/>
        <v>1.0002225970513769</v>
      </c>
      <c r="N314" s="340">
        <f t="shared" si="119"/>
        <v>2.1097666601437318E-2</v>
      </c>
      <c r="O314" s="341">
        <f t="shared" si="120"/>
        <v>1.0001128668424604</v>
      </c>
      <c r="P314" s="342">
        <f t="shared" si="121"/>
        <v>3.3228516337240825E-2</v>
      </c>
      <c r="Q314" s="343">
        <f t="shared" si="122"/>
        <v>0.71054846967688201</v>
      </c>
      <c r="R314" s="344">
        <f t="shared" si="123"/>
        <v>-40.928474985244769</v>
      </c>
      <c r="S314" s="346">
        <f t="shared" si="124"/>
        <v>139.07152501475522</v>
      </c>
      <c r="U314" s="319">
        <f t="shared" si="130"/>
        <v>1000000000</v>
      </c>
      <c r="V314" s="319">
        <f t="shared" si="131"/>
        <v>484231027.5625</v>
      </c>
      <c r="X314" s="345">
        <f t="shared" si="125"/>
        <v>1.6859679577690931</v>
      </c>
      <c r="Y314" s="346">
        <f t="shared" si="126"/>
        <v>-16.556090212295967</v>
      </c>
      <c r="AA314" s="345">
        <f t="shared" si="127"/>
        <v>32.248209380840166</v>
      </c>
      <c r="AB314" s="346">
        <f t="shared" si="128"/>
        <v>-24.372384772948813</v>
      </c>
      <c r="AD314">
        <f t="shared" si="132"/>
        <v>0</v>
      </c>
      <c r="AE314">
        <f t="shared" si="135"/>
        <v>0</v>
      </c>
    </row>
    <row r="315" spans="1:31" x14ac:dyDescent="0.2">
      <c r="A315" s="347">
        <v>22132.5</v>
      </c>
      <c r="B315" s="364">
        <f t="shared" si="129"/>
        <v>22.1325</v>
      </c>
      <c r="C315" s="337">
        <f t="shared" si="110"/>
        <v>1.0836515715748041</v>
      </c>
      <c r="D315" s="338">
        <f t="shared" si="111"/>
        <v>0.39549533770982659</v>
      </c>
      <c r="E315" s="338">
        <f t="shared" si="112"/>
        <v>1.0000008543704273</v>
      </c>
      <c r="F315" s="339">
        <f t="shared" si="113"/>
        <v>1.3071876827828388E-3</v>
      </c>
      <c r="G315" s="338">
        <f t="shared" si="114"/>
        <v>1</v>
      </c>
      <c r="H315" s="339">
        <f t="shared" si="115"/>
        <v>0</v>
      </c>
      <c r="I315" s="337">
        <f t="shared" si="116"/>
        <v>240303.83505076845</v>
      </c>
      <c r="J315" s="340">
        <f t="shared" si="117"/>
        <v>1.5707921653964745</v>
      </c>
      <c r="K315" s="348">
        <f t="shared" si="133"/>
        <v>3.7985693338553688</v>
      </c>
      <c r="L315" s="349">
        <f t="shared" si="134"/>
        <v>1.3043995731937983</v>
      </c>
      <c r="M315" s="337">
        <f t="shared" si="118"/>
        <v>1.00022517863315</v>
      </c>
      <c r="N315" s="340">
        <f t="shared" si="119"/>
        <v>2.121963179480631E-2</v>
      </c>
      <c r="O315" s="341">
        <f t="shared" si="120"/>
        <v>1.0001141770262199</v>
      </c>
      <c r="P315" s="342">
        <f t="shared" si="121"/>
        <v>3.3420694810377627E-2</v>
      </c>
      <c r="Q315" s="343">
        <f t="shared" si="122"/>
        <v>0.69962764897809437</v>
      </c>
      <c r="R315" s="344">
        <f t="shared" si="123"/>
        <v>-40.979148709901217</v>
      </c>
      <c r="S315" s="346">
        <f t="shared" si="124"/>
        <v>139.02085129009879</v>
      </c>
      <c r="U315" s="319">
        <f t="shared" si="130"/>
        <v>1000000000</v>
      </c>
      <c r="V315" s="319">
        <f t="shared" si="131"/>
        <v>489847556.25</v>
      </c>
      <c r="X315" s="345">
        <f t="shared" si="125"/>
        <v>1.6824558637666391</v>
      </c>
      <c r="Y315" s="346">
        <f t="shared" si="126"/>
        <v>-16.478966590256967</v>
      </c>
      <c r="AA315" s="345">
        <f t="shared" si="127"/>
        <v>32.240800654143833</v>
      </c>
      <c r="AB315" s="346">
        <f t="shared" si="128"/>
        <v>-24.500182119644265</v>
      </c>
      <c r="AD315">
        <f t="shared" si="132"/>
        <v>0</v>
      </c>
      <c r="AE315">
        <f t="shared" si="135"/>
        <v>0</v>
      </c>
    </row>
    <row r="316" spans="1:31" x14ac:dyDescent="0.2">
      <c r="A316" s="347">
        <v>22259.75</v>
      </c>
      <c r="B316" s="364">
        <f t="shared" si="129"/>
        <v>22.25975</v>
      </c>
      <c r="C316" s="337">
        <f t="shared" si="110"/>
        <v>1.0845786101793236</v>
      </c>
      <c r="D316" s="338">
        <f t="shared" si="111"/>
        <v>0.39753767055108685</v>
      </c>
      <c r="E316" s="338">
        <f t="shared" si="112"/>
        <v>1.0000008642230085</v>
      </c>
      <c r="F316" s="339">
        <f t="shared" si="113"/>
        <v>1.3147033019632051E-3</v>
      </c>
      <c r="G316" s="338">
        <f t="shared" si="114"/>
        <v>1</v>
      </c>
      <c r="H316" s="339">
        <f t="shared" si="115"/>
        <v>0</v>
      </c>
      <c r="I316" s="337">
        <f t="shared" si="116"/>
        <v>241685.45316935793</v>
      </c>
      <c r="J316" s="340">
        <f t="shared" si="117"/>
        <v>1.5707921891855086</v>
      </c>
      <c r="K316" s="348">
        <f t="shared" si="133"/>
        <v>3.8188995109297585</v>
      </c>
      <c r="L316" s="349">
        <f t="shared" si="134"/>
        <v>1.3058519961512829</v>
      </c>
      <c r="M316" s="337">
        <f t="shared" si="118"/>
        <v>1.0002277750937039</v>
      </c>
      <c r="N316" s="340">
        <f t="shared" si="119"/>
        <v>2.1341596356778181E-2</v>
      </c>
      <c r="O316" s="341">
        <f t="shared" si="120"/>
        <v>1.0001154947889941</v>
      </c>
      <c r="P316" s="342">
        <f t="shared" si="121"/>
        <v>3.3612873759950201E-2</v>
      </c>
      <c r="Q316" s="343">
        <f t="shared" si="122"/>
        <v>0.68873360890015278</v>
      </c>
      <c r="R316" s="344">
        <f t="shared" si="123"/>
        <v>-41.030517903718049</v>
      </c>
      <c r="S316" s="346">
        <f t="shared" si="124"/>
        <v>138.96948209628195</v>
      </c>
      <c r="U316" s="319">
        <f t="shared" si="130"/>
        <v>1000000000</v>
      </c>
      <c r="V316" s="319">
        <f t="shared" si="131"/>
        <v>495496470.0625</v>
      </c>
      <c r="X316" s="345">
        <f t="shared" si="125"/>
        <v>1.6790005818837328</v>
      </c>
      <c r="Y316" s="346">
        <f t="shared" si="126"/>
        <v>-16.402738302300488</v>
      </c>
      <c r="AA316" s="345">
        <f t="shared" si="127"/>
        <v>32.233361895948804</v>
      </c>
      <c r="AB316" s="346">
        <f t="shared" si="128"/>
        <v>-24.627779601417544</v>
      </c>
      <c r="AD316">
        <f t="shared" si="132"/>
        <v>0</v>
      </c>
      <c r="AE316">
        <f t="shared" si="135"/>
        <v>0</v>
      </c>
    </row>
    <row r="317" spans="1:31" x14ac:dyDescent="0.2">
      <c r="A317" s="347">
        <v>22387</v>
      </c>
      <c r="B317" s="364">
        <f t="shared" si="129"/>
        <v>22.387</v>
      </c>
      <c r="C317" s="337">
        <f t="shared" si="110"/>
        <v>1.0855101649571557</v>
      </c>
      <c r="D317" s="338">
        <f t="shared" si="111"/>
        <v>0.39957650653742116</v>
      </c>
      <c r="E317" s="338">
        <f t="shared" si="112"/>
        <v>1.0000008741320743</v>
      </c>
      <c r="F317" s="339">
        <f t="shared" si="113"/>
        <v>1.3222189209950504E-3</v>
      </c>
      <c r="G317" s="338">
        <f t="shared" si="114"/>
        <v>1</v>
      </c>
      <c r="H317" s="339">
        <f t="shared" si="115"/>
        <v>0</v>
      </c>
      <c r="I317" s="337">
        <f t="shared" si="116"/>
        <v>243067.07128794759</v>
      </c>
      <c r="J317" s="340">
        <f t="shared" si="117"/>
        <v>1.5707922127041039</v>
      </c>
      <c r="K317" s="348">
        <f t="shared" si="133"/>
        <v>3.8392376587667756</v>
      </c>
      <c r="L317" s="349">
        <f t="shared" si="134"/>
        <v>1.3072890338539667</v>
      </c>
      <c r="M317" s="337">
        <f t="shared" si="118"/>
        <v>1.0002303864329229</v>
      </c>
      <c r="N317" s="340">
        <f t="shared" si="119"/>
        <v>2.1463560283729331E-2</v>
      </c>
      <c r="O317" s="341">
        <f t="shared" si="120"/>
        <v>1.0001168201312034</v>
      </c>
      <c r="P317" s="342">
        <f t="shared" si="121"/>
        <v>3.3805053188685159E-2</v>
      </c>
      <c r="Q317" s="343">
        <f t="shared" si="122"/>
        <v>0.67786530616924978</v>
      </c>
      <c r="R317" s="344">
        <f t="shared" si="123"/>
        <v>-41.082568228257088</v>
      </c>
      <c r="S317" s="346">
        <f t="shared" si="124"/>
        <v>138.91743177174291</v>
      </c>
      <c r="U317" s="319">
        <f t="shared" si="130"/>
        <v>1000000000</v>
      </c>
      <c r="V317" s="319">
        <f t="shared" si="131"/>
        <v>501177769</v>
      </c>
      <c r="X317" s="345">
        <f t="shared" si="125"/>
        <v>1.6756008938294689</v>
      </c>
      <c r="Y317" s="346">
        <f t="shared" si="126"/>
        <v>-16.327391472632833</v>
      </c>
      <c r="AA317" s="345">
        <f t="shared" si="127"/>
        <v>32.225893281272164</v>
      </c>
      <c r="AB317" s="346">
        <f t="shared" si="128"/>
        <v>-24.755176755624259</v>
      </c>
      <c r="AD317">
        <f t="shared" si="132"/>
        <v>0</v>
      </c>
      <c r="AE317">
        <f t="shared" si="135"/>
        <v>0</v>
      </c>
    </row>
    <row r="318" spans="1:31" x14ac:dyDescent="0.2">
      <c r="A318" s="347">
        <v>22517.5</v>
      </c>
      <c r="B318" s="364">
        <f t="shared" si="129"/>
        <v>22.517499999999998</v>
      </c>
      <c r="C318" s="337">
        <f t="shared" si="110"/>
        <v>1.0864701903943599</v>
      </c>
      <c r="D318" s="338">
        <f t="shared" si="111"/>
        <v>0.40166377468505082</v>
      </c>
      <c r="E318" s="338">
        <f t="shared" si="112"/>
        <v>1.0000008843528871</v>
      </c>
      <c r="F318" s="339">
        <f t="shared" si="113"/>
        <v>1.3299264908489853E-3</v>
      </c>
      <c r="G318" s="338">
        <f t="shared" si="114"/>
        <v>1</v>
      </c>
      <c r="H318" s="339">
        <f t="shared" si="115"/>
        <v>0</v>
      </c>
      <c r="I318" s="337">
        <f t="shared" si="116"/>
        <v>244483.97631329898</v>
      </c>
      <c r="J318" s="340">
        <f t="shared" si="117"/>
        <v>1.5707922365472857</v>
      </c>
      <c r="K318" s="348">
        <f t="shared" si="133"/>
        <v>3.8601033952476165</v>
      </c>
      <c r="L318" s="349">
        <f t="shared" si="134"/>
        <v>1.3087470427728936</v>
      </c>
      <c r="M318" s="337">
        <f t="shared" si="118"/>
        <v>1.0002330799198678</v>
      </c>
      <c r="N318" s="340">
        <f t="shared" si="119"/>
        <v>2.1588638539569622E-2</v>
      </c>
      <c r="O318" s="341">
        <f t="shared" si="120"/>
        <v>1.0001181871957405</v>
      </c>
      <c r="P318" s="342">
        <f t="shared" si="121"/>
        <v>3.4002141433420188E-2</v>
      </c>
      <c r="Q318" s="343">
        <f t="shared" si="122"/>
        <v>0.66674509669243731</v>
      </c>
      <c r="R318" s="344">
        <f t="shared" si="123"/>
        <v>-41.13664066201742</v>
      </c>
      <c r="S318" s="346">
        <f t="shared" si="124"/>
        <v>138.86335933798259</v>
      </c>
      <c r="U318" s="319">
        <f t="shared" si="130"/>
        <v>1000000000</v>
      </c>
      <c r="V318" s="319">
        <f t="shared" si="131"/>
        <v>507037806.25</v>
      </c>
      <c r="X318" s="345">
        <f t="shared" si="125"/>
        <v>1.6721708762347476</v>
      </c>
      <c r="Y318" s="346">
        <f t="shared" si="126"/>
        <v>-16.251021537280817</v>
      </c>
      <c r="AA318" s="345">
        <f t="shared" si="127"/>
        <v>32.218203089390073</v>
      </c>
      <c r="AB318" s="346">
        <f t="shared" si="128"/>
        <v>-24.885619124736603</v>
      </c>
      <c r="AD318">
        <f t="shared" si="132"/>
        <v>0</v>
      </c>
      <c r="AE318">
        <f t="shared" si="135"/>
        <v>0</v>
      </c>
    </row>
    <row r="319" spans="1:31" x14ac:dyDescent="0.2">
      <c r="A319" s="347">
        <v>22648</v>
      </c>
      <c r="B319" s="364">
        <f t="shared" si="129"/>
        <v>22.648</v>
      </c>
      <c r="C319" s="337">
        <f t="shared" si="110"/>
        <v>1.0874349408738935</v>
      </c>
      <c r="D319" s="338">
        <f t="shared" si="111"/>
        <v>0.40374734833186005</v>
      </c>
      <c r="E319" s="338">
        <f t="shared" si="112"/>
        <v>1.0000008946331069</v>
      </c>
      <c r="F319" s="339">
        <f t="shared" si="113"/>
        <v>1.3376340605449069E-3</v>
      </c>
      <c r="G319" s="338">
        <f t="shared" si="114"/>
        <v>1</v>
      </c>
      <c r="H319" s="339">
        <f t="shared" si="115"/>
        <v>0</v>
      </c>
      <c r="I319" s="337">
        <f t="shared" si="116"/>
        <v>245900.88133865051</v>
      </c>
      <c r="J319" s="340">
        <f t="shared" si="117"/>
        <v>1.5707922601156943</v>
      </c>
      <c r="K319" s="348">
        <f t="shared" si="133"/>
        <v>3.8809772492523633</v>
      </c>
      <c r="L319" s="349">
        <f t="shared" si="134"/>
        <v>1.3101893709151184</v>
      </c>
      <c r="M319" s="337">
        <f t="shared" si="118"/>
        <v>1.0002357890549447</v>
      </c>
      <c r="N319" s="340">
        <f t="shared" si="119"/>
        <v>2.1713716119818659E-2</v>
      </c>
      <c r="O319" s="341">
        <f t="shared" si="120"/>
        <v>1.000119562232725</v>
      </c>
      <c r="P319" s="342">
        <f t="shared" si="121"/>
        <v>3.4199230187913897E-2</v>
      </c>
      <c r="Q319" s="343">
        <f t="shared" si="122"/>
        <v>0.65564983574566482</v>
      </c>
      <c r="R319" s="344">
        <f t="shared" si="123"/>
        <v>-41.191399833562841</v>
      </c>
      <c r="S319" s="346">
        <f t="shared" si="124"/>
        <v>138.80860016643715</v>
      </c>
      <c r="U319" s="319">
        <f t="shared" si="130"/>
        <v>1000000000</v>
      </c>
      <c r="V319" s="319">
        <f t="shared" si="131"/>
        <v>512931904</v>
      </c>
      <c r="X319" s="345">
        <f t="shared" si="125"/>
        <v>1.6687968354583695</v>
      </c>
      <c r="Y319" s="346">
        <f t="shared" si="126"/>
        <v>-16.175549989802466</v>
      </c>
      <c r="AA319" s="345">
        <f t="shared" si="127"/>
        <v>32.210481869219677</v>
      </c>
      <c r="AB319" s="346">
        <f t="shared" si="128"/>
        <v>-25.015849843760364</v>
      </c>
      <c r="AD319">
        <f t="shared" si="132"/>
        <v>0</v>
      </c>
      <c r="AE319">
        <f t="shared" si="135"/>
        <v>0</v>
      </c>
    </row>
    <row r="320" spans="1:31" x14ac:dyDescent="0.2">
      <c r="A320" s="347">
        <v>22778.5</v>
      </c>
      <c r="B320" s="364">
        <f t="shared" si="129"/>
        <v>22.778500000000001</v>
      </c>
      <c r="C320" s="337">
        <f t="shared" si="110"/>
        <v>1.0884044038310698</v>
      </c>
      <c r="D320" s="338">
        <f t="shared" si="111"/>
        <v>0.40582721923551041</v>
      </c>
      <c r="E320" s="338">
        <f t="shared" si="112"/>
        <v>1.0000009049727332</v>
      </c>
      <c r="F320" s="339">
        <f t="shared" si="113"/>
        <v>1.3453416300818997E-3</v>
      </c>
      <c r="G320" s="338">
        <f t="shared" si="114"/>
        <v>1</v>
      </c>
      <c r="H320" s="339">
        <f t="shared" si="115"/>
        <v>0</v>
      </c>
      <c r="I320" s="337">
        <f t="shared" si="116"/>
        <v>247317.78636400218</v>
      </c>
      <c r="J320" s="340">
        <f t="shared" si="117"/>
        <v>1.5707922834140517</v>
      </c>
      <c r="K320" s="348">
        <f t="shared" si="133"/>
        <v>3.9018590905015751</v>
      </c>
      <c r="L320" s="349">
        <f t="shared" si="134"/>
        <v>1.3116162639906073</v>
      </c>
      <c r="M320" s="337">
        <f t="shared" si="118"/>
        <v>1.0002385138380265</v>
      </c>
      <c r="N320" s="340">
        <f t="shared" si="119"/>
        <v>2.1838793020568435E-2</v>
      </c>
      <c r="O320" s="341">
        <f t="shared" si="120"/>
        <v>1.000120945242619</v>
      </c>
      <c r="P320" s="342">
        <f t="shared" si="121"/>
        <v>3.4396319455106475E-2</v>
      </c>
      <c r="Q320" s="343">
        <f t="shared" si="122"/>
        <v>0.64457849968156999</v>
      </c>
      <c r="R320" s="344">
        <f t="shared" si="123"/>
        <v>-41.246831192713238</v>
      </c>
      <c r="S320" s="346">
        <f t="shared" si="124"/>
        <v>138.75316880728676</v>
      </c>
      <c r="U320" s="319">
        <f t="shared" si="130"/>
        <v>1000000000</v>
      </c>
      <c r="V320" s="319">
        <f t="shared" si="131"/>
        <v>518860062.25</v>
      </c>
      <c r="X320" s="345">
        <f t="shared" si="125"/>
        <v>1.6654775591934436</v>
      </c>
      <c r="Y320" s="346">
        <f t="shared" si="126"/>
        <v>-16.100962752100372</v>
      </c>
      <c r="AA320" s="345">
        <f t="shared" si="127"/>
        <v>32.202729809420504</v>
      </c>
      <c r="AB320" s="346">
        <f t="shared" si="128"/>
        <v>-25.145868440612848</v>
      </c>
      <c r="AD320">
        <f t="shared" si="132"/>
        <v>0</v>
      </c>
      <c r="AE320">
        <f t="shared" si="135"/>
        <v>0</v>
      </c>
    </row>
    <row r="321" spans="1:31" x14ac:dyDescent="0.2">
      <c r="A321" s="347">
        <v>22909</v>
      </c>
      <c r="B321" s="364">
        <f t="shared" si="129"/>
        <v>22.908999999999999</v>
      </c>
      <c r="C321" s="337">
        <f t="shared" si="110"/>
        <v>1.0893785666846632</v>
      </c>
      <c r="D321" s="338">
        <f t="shared" si="111"/>
        <v>0.40790337931107162</v>
      </c>
      <c r="E321" s="338">
        <f t="shared" si="112"/>
        <v>1.0000009153717664</v>
      </c>
      <c r="F321" s="339">
        <f t="shared" si="113"/>
        <v>1.3530491994590481E-3</v>
      </c>
      <c r="G321" s="338">
        <f t="shared" si="114"/>
        <v>1</v>
      </c>
      <c r="H321" s="339">
        <f t="shared" si="115"/>
        <v>0</v>
      </c>
      <c r="I321" s="337">
        <f t="shared" si="116"/>
        <v>248734.691389354</v>
      </c>
      <c r="J321" s="340">
        <f t="shared" si="117"/>
        <v>1.5707923064469733</v>
      </c>
      <c r="K321" s="348">
        <f t="shared" si="133"/>
        <v>3.9227487914405375</v>
      </c>
      <c r="L321" s="349">
        <f t="shared" si="134"/>
        <v>1.3130279627298596</v>
      </c>
      <c r="M321" s="337">
        <f t="shared" si="118"/>
        <v>1.0002412542689854</v>
      </c>
      <c r="N321" s="340">
        <f t="shared" si="119"/>
        <v>2.1963869237911049E-2</v>
      </c>
      <c r="O321" s="341">
        <f t="shared" si="120"/>
        <v>1.000122336225888</v>
      </c>
      <c r="P321" s="342">
        <f t="shared" si="121"/>
        <v>3.4593409237937876E-2</v>
      </c>
      <c r="Q321" s="343">
        <f t="shared" si="122"/>
        <v>0.63353009700457141</v>
      </c>
      <c r="R321" s="344">
        <f t="shared" si="123"/>
        <v>-41.3029204836036</v>
      </c>
      <c r="S321" s="346">
        <f t="shared" si="124"/>
        <v>138.6970795163964</v>
      </c>
      <c r="U321" s="319">
        <f t="shared" si="130"/>
        <v>1000000000</v>
      </c>
      <c r="V321" s="319">
        <f t="shared" si="131"/>
        <v>524822281</v>
      </c>
      <c r="X321" s="345">
        <f t="shared" si="125"/>
        <v>1.6622118673453445</v>
      </c>
      <c r="Y321" s="346">
        <f t="shared" si="126"/>
        <v>-16.027246031373444</v>
      </c>
      <c r="AA321" s="345">
        <f t="shared" si="127"/>
        <v>32.194947098591605</v>
      </c>
      <c r="AB321" s="346">
        <f t="shared" si="128"/>
        <v>-25.275674452230167</v>
      </c>
      <c r="AD321">
        <f t="shared" si="132"/>
        <v>0</v>
      </c>
      <c r="AE321">
        <f t="shared" si="135"/>
        <v>0</v>
      </c>
    </row>
    <row r="322" spans="1:31" x14ac:dyDescent="0.2">
      <c r="A322" s="347">
        <v>23042.25</v>
      </c>
      <c r="B322" s="364">
        <f t="shared" si="129"/>
        <v>23.042249999999999</v>
      </c>
      <c r="C322" s="337">
        <f t="shared" si="110"/>
        <v>1.0903780942846204</v>
      </c>
      <c r="D322" s="338">
        <f t="shared" si="111"/>
        <v>0.41001945270089563</v>
      </c>
      <c r="E322" s="338">
        <f t="shared" si="112"/>
        <v>1.0000009260512337</v>
      </c>
      <c r="F322" s="339">
        <f t="shared" si="113"/>
        <v>1.3609191887146584E-3</v>
      </c>
      <c r="G322" s="338">
        <f t="shared" si="114"/>
        <v>1</v>
      </c>
      <c r="H322" s="339">
        <f t="shared" si="115"/>
        <v>0</v>
      </c>
      <c r="I322" s="337">
        <f t="shared" si="116"/>
        <v>250181.45456658117</v>
      </c>
      <c r="J322" s="340">
        <f t="shared" si="117"/>
        <v>1.570792329696064</v>
      </c>
      <c r="K322" s="348">
        <f t="shared" si="133"/>
        <v>3.9440866769124447</v>
      </c>
      <c r="L322" s="349">
        <f t="shared" si="134"/>
        <v>1.3144539769841161</v>
      </c>
      <c r="M322" s="337">
        <f t="shared" si="118"/>
        <v>1.0002440685943239</v>
      </c>
      <c r="N322" s="340">
        <f t="shared" si="119"/>
        <v>2.209158045176177E-2</v>
      </c>
      <c r="O322" s="341">
        <f t="shared" si="120"/>
        <v>1.0001237647487284</v>
      </c>
      <c r="P322" s="342">
        <f t="shared" si="121"/>
        <v>3.4794652788847615E-2</v>
      </c>
      <c r="Q322" s="343">
        <f t="shared" si="122"/>
        <v>0.62227153923674017</v>
      </c>
      <c r="R322" s="344">
        <f t="shared" si="123"/>
        <v>-41.360856094329357</v>
      </c>
      <c r="S322" s="346">
        <f t="shared" si="124"/>
        <v>138.63914390567064</v>
      </c>
      <c r="U322" s="319">
        <f t="shared" si="130"/>
        <v>1000000000</v>
      </c>
      <c r="V322" s="319">
        <f t="shared" si="131"/>
        <v>530945285.0625</v>
      </c>
      <c r="X322" s="345">
        <f t="shared" si="125"/>
        <v>1.6589314546864233</v>
      </c>
      <c r="Y322" s="346">
        <f t="shared" si="126"/>
        <v>-15.952860078618956</v>
      </c>
      <c r="AA322" s="345">
        <f t="shared" si="127"/>
        <v>32.186968953482697</v>
      </c>
      <c r="AB322" s="346">
        <f t="shared" si="128"/>
        <v>-25.40799601571042</v>
      </c>
      <c r="AD322">
        <f t="shared" si="132"/>
        <v>0</v>
      </c>
      <c r="AE322">
        <f t="shared" si="135"/>
        <v>0</v>
      </c>
    </row>
    <row r="323" spans="1:31" x14ac:dyDescent="0.2">
      <c r="A323" s="347">
        <v>23175.5</v>
      </c>
      <c r="B323" s="364">
        <f t="shared" si="129"/>
        <v>23.1755</v>
      </c>
      <c r="C323" s="337">
        <f t="shared" si="110"/>
        <v>1.0913824953873754</v>
      </c>
      <c r="D323" s="338">
        <f t="shared" si="111"/>
        <v>0.41213164068250324</v>
      </c>
      <c r="E323" s="338">
        <f t="shared" si="112"/>
        <v>1.0000009367926379</v>
      </c>
      <c r="F323" s="339">
        <f t="shared" si="113"/>
        <v>1.368789177801687E-3</v>
      </c>
      <c r="G323" s="338">
        <f t="shared" si="114"/>
        <v>1</v>
      </c>
      <c r="H323" s="339">
        <f t="shared" si="115"/>
        <v>0</v>
      </c>
      <c r="I323" s="337">
        <f t="shared" si="116"/>
        <v>251628.21774380846</v>
      </c>
      <c r="J323" s="340">
        <f t="shared" si="117"/>
        <v>1.5707923526778085</v>
      </c>
      <c r="K323" s="348">
        <f t="shared" si="133"/>
        <v>3.9654324964260912</v>
      </c>
      <c r="L323" s="349">
        <f t="shared" si="134"/>
        <v>1.3158646416863671</v>
      </c>
      <c r="M323" s="337">
        <f t="shared" si="118"/>
        <v>1.0002468992337055</v>
      </c>
      <c r="N323" s="340">
        <f t="shared" si="119"/>
        <v>2.2219290944865147E-2</v>
      </c>
      <c r="O323" s="341">
        <f t="shared" si="120"/>
        <v>1.0001252015855158</v>
      </c>
      <c r="P323" s="342">
        <f t="shared" si="121"/>
        <v>3.4995896883551154E-2</v>
      </c>
      <c r="Q323" s="343">
        <f t="shared" si="122"/>
        <v>0.61103490047700171</v>
      </c>
      <c r="R323" s="344">
        <f t="shared" si="123"/>
        <v>-41.419448526663928</v>
      </c>
      <c r="S323" s="346">
        <f t="shared" si="124"/>
        <v>138.58055147333607</v>
      </c>
      <c r="U323" s="319">
        <f t="shared" si="130"/>
        <v>1000000000</v>
      </c>
      <c r="V323" s="319">
        <f t="shared" si="131"/>
        <v>537103800.25</v>
      </c>
      <c r="X323" s="345">
        <f t="shared" si="125"/>
        <v>1.6557045203158605</v>
      </c>
      <c r="Y323" s="346">
        <f t="shared" si="126"/>
        <v>-15.879353533799222</v>
      </c>
      <c r="AA323" s="345">
        <f t="shared" si="127"/>
        <v>32.178959249093516</v>
      </c>
      <c r="AB323" s="346">
        <f t="shared" si="128"/>
        <v>-25.540094992864677</v>
      </c>
      <c r="AD323">
        <f t="shared" si="132"/>
        <v>0</v>
      </c>
      <c r="AE323">
        <f t="shared" si="135"/>
        <v>0</v>
      </c>
    </row>
    <row r="324" spans="1:31" x14ac:dyDescent="0.2">
      <c r="A324" s="347">
        <v>23308.75</v>
      </c>
      <c r="B324" s="364">
        <f t="shared" si="129"/>
        <v>23.30875</v>
      </c>
      <c r="C324" s="337">
        <f t="shared" si="110"/>
        <v>1.092391756550082</v>
      </c>
      <c r="D324" s="338">
        <f t="shared" si="111"/>
        <v>0.41423993515290652</v>
      </c>
      <c r="E324" s="338">
        <f t="shared" si="112"/>
        <v>1.000000947595979</v>
      </c>
      <c r="F324" s="339">
        <f t="shared" si="113"/>
        <v>1.3766591667191586E-3</v>
      </c>
      <c r="G324" s="338">
        <f t="shared" si="114"/>
        <v>1</v>
      </c>
      <c r="H324" s="339">
        <f t="shared" si="115"/>
        <v>0</v>
      </c>
      <c r="I324" s="337">
        <f t="shared" si="116"/>
        <v>253074.98092103589</v>
      </c>
      <c r="J324" s="340">
        <f t="shared" si="117"/>
        <v>1.5707923753967918</v>
      </c>
      <c r="K324" s="348">
        <f t="shared" si="133"/>
        <v>3.9867861225415173</v>
      </c>
      <c r="L324" s="349">
        <f t="shared" si="134"/>
        <v>1.3172601978178997</v>
      </c>
      <c r="M324" s="337">
        <f t="shared" si="118"/>
        <v>1.0002497461869915</v>
      </c>
      <c r="N324" s="340">
        <f t="shared" si="119"/>
        <v>2.23470007130614E-2</v>
      </c>
      <c r="O324" s="341">
        <f t="shared" si="120"/>
        <v>1.0001266467367542</v>
      </c>
      <c r="P324" s="342">
        <f t="shared" si="121"/>
        <v>3.5197141525177444E-2</v>
      </c>
      <c r="Q324" s="343">
        <f t="shared" si="122"/>
        <v>0.59981922249010411</v>
      </c>
      <c r="R324" s="344">
        <f t="shared" si="123"/>
        <v>-41.478683509333166</v>
      </c>
      <c r="S324" s="346">
        <f t="shared" si="124"/>
        <v>138.52131649066683</v>
      </c>
      <c r="U324" s="319">
        <f t="shared" si="130"/>
        <v>1000000000</v>
      </c>
      <c r="V324" s="319">
        <f t="shared" si="131"/>
        <v>543297826.5625</v>
      </c>
      <c r="X324" s="345">
        <f t="shared" si="125"/>
        <v>1.6525299054904838</v>
      </c>
      <c r="Y324" s="346">
        <f t="shared" si="126"/>
        <v>-15.806712589727903</v>
      </c>
      <c r="AA324" s="345">
        <f t="shared" si="127"/>
        <v>32.170918185931995</v>
      </c>
      <c r="AB324" s="346">
        <f t="shared" si="128"/>
        <v>-25.671970919605272</v>
      </c>
      <c r="AD324">
        <f t="shared" si="132"/>
        <v>0</v>
      </c>
      <c r="AE324">
        <f t="shared" si="135"/>
        <v>0</v>
      </c>
    </row>
    <row r="325" spans="1:31" x14ac:dyDescent="0.2">
      <c r="A325" s="347">
        <v>23442</v>
      </c>
      <c r="B325" s="364">
        <f t="shared" si="129"/>
        <v>23.442</v>
      </c>
      <c r="C325" s="337">
        <f t="shared" si="110"/>
        <v>1.0934058643146001</v>
      </c>
      <c r="D325" s="338">
        <f t="shared" si="111"/>
        <v>0.41634432817741207</v>
      </c>
      <c r="E325" s="338">
        <f t="shared" si="112"/>
        <v>1.0000009584612566</v>
      </c>
      <c r="F325" s="339">
        <f t="shared" si="113"/>
        <v>1.384529155466099E-3</v>
      </c>
      <c r="G325" s="338">
        <f t="shared" si="114"/>
        <v>1</v>
      </c>
      <c r="H325" s="339">
        <f t="shared" si="115"/>
        <v>0</v>
      </c>
      <c r="I325" s="337">
        <f t="shared" si="116"/>
        <v>254521.74409826347</v>
      </c>
      <c r="J325" s="340">
        <f t="shared" si="117"/>
        <v>1.5707923978574947</v>
      </c>
      <c r="K325" s="348">
        <f t="shared" si="133"/>
        <v>4.0081474304884228</v>
      </c>
      <c r="L325" s="349">
        <f t="shared" si="134"/>
        <v>1.3186408814610187</v>
      </c>
      <c r="M325" s="337">
        <f t="shared" si="118"/>
        <v>1.0002526094540427</v>
      </c>
      <c r="N325" s="340">
        <f t="shared" si="119"/>
        <v>2.2474709752190906E-2</v>
      </c>
      <c r="O325" s="341">
        <f t="shared" si="120"/>
        <v>1.0001281002029503</v>
      </c>
      <c r="P325" s="342">
        <f t="shared" si="121"/>
        <v>3.5398386716855156E-2</v>
      </c>
      <c r="Q325" s="343">
        <f t="shared" si="122"/>
        <v>0.58862357773784191</v>
      </c>
      <c r="R325" s="344">
        <f t="shared" si="123"/>
        <v>-41.538547061390759</v>
      </c>
      <c r="S325" s="346">
        <f t="shared" si="124"/>
        <v>138.46145293860923</v>
      </c>
      <c r="U325" s="319">
        <f t="shared" si="130"/>
        <v>1000000000</v>
      </c>
      <c r="V325" s="319">
        <f t="shared" si="131"/>
        <v>549527364</v>
      </c>
      <c r="X325" s="345">
        <f t="shared" si="125"/>
        <v>1.6494064822780119</v>
      </c>
      <c r="Y325" s="346">
        <f t="shared" si="126"/>
        <v>-15.734923719903675</v>
      </c>
      <c r="AA325" s="345">
        <f t="shared" si="127"/>
        <v>32.162845964392211</v>
      </c>
      <c r="AB325" s="346">
        <f t="shared" si="128"/>
        <v>-25.803623341487061</v>
      </c>
      <c r="AD325">
        <f t="shared" si="132"/>
        <v>0</v>
      </c>
      <c r="AE325">
        <f t="shared" si="135"/>
        <v>0</v>
      </c>
    </row>
    <row r="326" spans="1:31" x14ac:dyDescent="0.2">
      <c r="A326" s="347">
        <v>23578.5</v>
      </c>
      <c r="B326" s="364">
        <f t="shared" si="129"/>
        <v>23.578499999999998</v>
      </c>
      <c r="C326" s="337">
        <f t="shared" si="110"/>
        <v>1.0944497176895889</v>
      </c>
      <c r="D326" s="338">
        <f t="shared" si="111"/>
        <v>0.41849599440085322</v>
      </c>
      <c r="E326" s="338">
        <f t="shared" si="112"/>
        <v>1.0000009696557624</v>
      </c>
      <c r="F326" s="339">
        <f t="shared" si="113"/>
        <v>1.3925910949802458E-3</v>
      </c>
      <c r="G326" s="338">
        <f t="shared" si="114"/>
        <v>1</v>
      </c>
      <c r="H326" s="339">
        <f t="shared" si="115"/>
        <v>0</v>
      </c>
      <c r="I326" s="337">
        <f t="shared" si="116"/>
        <v>256003.79418225281</v>
      </c>
      <c r="J326" s="340">
        <f t="shared" si="117"/>
        <v>1.5707924206027903</v>
      </c>
      <c r="K326" s="348">
        <f t="shared" si="133"/>
        <v>4.0300375834166688</v>
      </c>
      <c r="L326" s="349">
        <f t="shared" si="134"/>
        <v>1.3200400610425322</v>
      </c>
      <c r="M326" s="337">
        <f t="shared" si="118"/>
        <v>1.0002555594721918</v>
      </c>
      <c r="N326" s="340">
        <f t="shared" si="119"/>
        <v>2.2605532885628579E-2</v>
      </c>
      <c r="O326" s="341">
        <f t="shared" si="120"/>
        <v>1.0001295977417108</v>
      </c>
      <c r="P326" s="342">
        <f t="shared" si="121"/>
        <v>3.5604540901451105E-2</v>
      </c>
      <c r="Q326" s="343">
        <f t="shared" si="122"/>
        <v>0.57717470227699486</v>
      </c>
      <c r="R326" s="344">
        <f t="shared" si="123"/>
        <v>-41.600508136399498</v>
      </c>
      <c r="S326" s="346">
        <f t="shared" si="124"/>
        <v>138.3994918636005</v>
      </c>
      <c r="U326" s="319">
        <f t="shared" si="130"/>
        <v>1000000000</v>
      </c>
      <c r="V326" s="319">
        <f t="shared" si="131"/>
        <v>555945662.25</v>
      </c>
      <c r="X326" s="345">
        <f t="shared" si="125"/>
        <v>1.6462588100536777</v>
      </c>
      <c r="Y326" s="346">
        <f t="shared" si="126"/>
        <v>-15.662253551637123</v>
      </c>
      <c r="AA326" s="345">
        <f t="shared" si="127"/>
        <v>32.154544761155698</v>
      </c>
      <c r="AB326" s="346">
        <f t="shared" si="128"/>
        <v>-25.93825458476239</v>
      </c>
      <c r="AD326">
        <f t="shared" si="132"/>
        <v>0</v>
      </c>
      <c r="AE326">
        <f t="shared" si="135"/>
        <v>0</v>
      </c>
    </row>
    <row r="327" spans="1:31" x14ac:dyDescent="0.2">
      <c r="A327" s="347">
        <v>23715</v>
      </c>
      <c r="B327" s="364">
        <f t="shared" si="129"/>
        <v>23.715</v>
      </c>
      <c r="C327" s="337">
        <f t="shared" si="110"/>
        <v>1.0954986283331036</v>
      </c>
      <c r="D327" s="338">
        <f t="shared" si="111"/>
        <v>0.4206435502251894</v>
      </c>
      <c r="E327" s="338">
        <f t="shared" si="112"/>
        <v>1.000000980915263</v>
      </c>
      <c r="F327" s="339">
        <f t="shared" si="113"/>
        <v>1.4006530343133703E-3</v>
      </c>
      <c r="G327" s="338">
        <f t="shared" si="114"/>
        <v>1</v>
      </c>
      <c r="H327" s="339">
        <f t="shared" si="115"/>
        <v>0</v>
      </c>
      <c r="I327" s="337">
        <f t="shared" si="116"/>
        <v>257485.84426624229</v>
      </c>
      <c r="J327" s="340">
        <f t="shared" si="117"/>
        <v>1.570792443086249</v>
      </c>
      <c r="K327" s="348">
        <f t="shared" si="133"/>
        <v>4.051935540708989</v>
      </c>
      <c r="L327" s="349">
        <f t="shared" si="134"/>
        <v>1.321424120080184</v>
      </c>
      <c r="M327" s="337">
        <f t="shared" si="118"/>
        <v>1.0002585266093058</v>
      </c>
      <c r="N327" s="340">
        <f t="shared" si="119"/>
        <v>2.2736355245165533E-2</v>
      </c>
      <c r="O327" s="341">
        <f t="shared" si="120"/>
        <v>1.0001311040070691</v>
      </c>
      <c r="P327" s="342">
        <f t="shared" si="121"/>
        <v>3.5810695669902977E-2</v>
      </c>
      <c r="Q327" s="343">
        <f t="shared" si="122"/>
        <v>0.56574497333686447</v>
      </c>
      <c r="R327" s="344">
        <f t="shared" si="123"/>
        <v>-41.663100020354875</v>
      </c>
      <c r="S327" s="346">
        <f t="shared" si="124"/>
        <v>138.33689997964512</v>
      </c>
      <c r="U327" s="319">
        <f t="shared" si="130"/>
        <v>1000000000</v>
      </c>
      <c r="V327" s="319">
        <f t="shared" si="131"/>
        <v>562401225</v>
      </c>
      <c r="X327" s="345">
        <f t="shared" si="125"/>
        <v>1.6431625558960117</v>
      </c>
      <c r="Y327" s="346">
        <f t="shared" si="126"/>
        <v>-15.590449667375402</v>
      </c>
      <c r="AA327" s="345">
        <f t="shared" si="127"/>
        <v>32.146211286373237</v>
      </c>
      <c r="AB327" s="346">
        <f t="shared" si="128"/>
        <v>-26.072650352979473</v>
      </c>
      <c r="AD327">
        <f t="shared" si="132"/>
        <v>0</v>
      </c>
      <c r="AE327">
        <f t="shared" si="135"/>
        <v>0</v>
      </c>
    </row>
    <row r="328" spans="1:31" x14ac:dyDescent="0.2">
      <c r="A328" s="347">
        <v>23851.5</v>
      </c>
      <c r="B328" s="364">
        <f t="shared" si="129"/>
        <v>23.851500000000001</v>
      </c>
      <c r="C328" s="337">
        <f t="shared" si="110"/>
        <v>1.096552581732509</v>
      </c>
      <c r="D328" s="338">
        <f t="shared" si="111"/>
        <v>0.42278698766530848</v>
      </c>
      <c r="E328" s="338">
        <f t="shared" si="112"/>
        <v>1.0000009922397588</v>
      </c>
      <c r="F328" s="339">
        <f t="shared" si="113"/>
        <v>1.408714973464424E-3</v>
      </c>
      <c r="G328" s="338">
        <f t="shared" si="114"/>
        <v>1</v>
      </c>
      <c r="H328" s="339">
        <f t="shared" si="115"/>
        <v>0</v>
      </c>
      <c r="I328" s="337">
        <f t="shared" si="116"/>
        <v>258967.89435023192</v>
      </c>
      <c r="J328" s="340">
        <f t="shared" si="117"/>
        <v>1.5707924653123662</v>
      </c>
      <c r="K328" s="348">
        <f t="shared" si="133"/>
        <v>4.0738411765139162</v>
      </c>
      <c r="L328" s="349">
        <f t="shared" si="134"/>
        <v>1.3227932971441965</v>
      </c>
      <c r="M328" s="337">
        <f t="shared" si="118"/>
        <v>1.0002615108652324</v>
      </c>
      <c r="N328" s="340">
        <f t="shared" si="119"/>
        <v>2.2867176826330753E-2</v>
      </c>
      <c r="O328" s="341">
        <f t="shared" si="120"/>
        <v>1.0001326189995789</v>
      </c>
      <c r="P328" s="342">
        <f t="shared" si="121"/>
        <v>3.6016851025573088E-2</v>
      </c>
      <c r="Q328" s="343">
        <f t="shared" si="122"/>
        <v>0.55433348773930247</v>
      </c>
      <c r="R328" s="344">
        <f t="shared" si="123"/>
        <v>-41.726308586870772</v>
      </c>
      <c r="S328" s="346">
        <f t="shared" si="124"/>
        <v>138.27369141312923</v>
      </c>
      <c r="U328" s="319">
        <f t="shared" si="130"/>
        <v>1000000000</v>
      </c>
      <c r="V328" s="319">
        <f t="shared" si="131"/>
        <v>568894052.25</v>
      </c>
      <c r="X328" s="345">
        <f t="shared" si="125"/>
        <v>1.6401166016585718</v>
      </c>
      <c r="Y328" s="346">
        <f t="shared" si="126"/>
        <v>-15.519498398052994</v>
      </c>
      <c r="AA328" s="345">
        <f t="shared" si="127"/>
        <v>32.13784575501311</v>
      </c>
      <c r="AB328" s="346">
        <f t="shared" si="128"/>
        <v>-26.206810188817791</v>
      </c>
      <c r="AD328">
        <f t="shared" si="132"/>
        <v>0</v>
      </c>
      <c r="AE328">
        <f t="shared" si="135"/>
        <v>0</v>
      </c>
    </row>
    <row r="329" spans="1:31" x14ac:dyDescent="0.2">
      <c r="A329" s="347">
        <v>23988</v>
      </c>
      <c r="B329" s="364">
        <f t="shared" si="129"/>
        <v>23.988</v>
      </c>
      <c r="C329" s="337">
        <f t="shared" si="110"/>
        <v>1.0976115633612731</v>
      </c>
      <c r="D329" s="338">
        <f t="shared" si="111"/>
        <v>0.42492629891806316</v>
      </c>
      <c r="E329" s="338">
        <f t="shared" si="112"/>
        <v>1.0000010036292493</v>
      </c>
      <c r="F329" s="339">
        <f t="shared" si="113"/>
        <v>1.4167769124323593E-3</v>
      </c>
      <c r="G329" s="338">
        <f t="shared" si="114"/>
        <v>1</v>
      </c>
      <c r="H329" s="339">
        <f t="shared" si="115"/>
        <v>0</v>
      </c>
      <c r="I329" s="337">
        <f t="shared" si="116"/>
        <v>260449.94443422163</v>
      </c>
      <c r="J329" s="340">
        <f t="shared" si="117"/>
        <v>1.5707924872855346</v>
      </c>
      <c r="K329" s="348">
        <f t="shared" si="133"/>
        <v>4.0957543676287278</v>
      </c>
      <c r="L329" s="349">
        <f t="shared" si="134"/>
        <v>1.3241478259250612</v>
      </c>
      <c r="M329" s="337">
        <f t="shared" si="118"/>
        <v>1.0002645122398184</v>
      </c>
      <c r="N329" s="340">
        <f t="shared" si="119"/>
        <v>2.2997997624653391E-2</v>
      </c>
      <c r="O329" s="341">
        <f t="shared" si="120"/>
        <v>1.0001341427197985</v>
      </c>
      <c r="P329" s="342">
        <f t="shared" si="121"/>
        <v>3.6223006971823485E-2</v>
      </c>
      <c r="Q329" s="343">
        <f t="shared" si="122"/>
        <v>0.54293937197351438</v>
      </c>
      <c r="R329" s="344">
        <f t="shared" si="123"/>
        <v>-41.790119999569185</v>
      </c>
      <c r="S329" s="346">
        <f t="shared" si="124"/>
        <v>138.20988000043081</v>
      </c>
      <c r="U329" s="319">
        <f t="shared" si="130"/>
        <v>1000000000</v>
      </c>
      <c r="V329" s="319">
        <f t="shared" si="131"/>
        <v>575424144</v>
      </c>
      <c r="X329" s="345">
        <f t="shared" si="125"/>
        <v>1.6371198590397058</v>
      </c>
      <c r="Y329" s="346">
        <f t="shared" si="126"/>
        <v>-15.44938635418657</v>
      </c>
      <c r="AA329" s="345">
        <f t="shared" si="127"/>
        <v>32.12944838186619</v>
      </c>
      <c r="AB329" s="346">
        <f t="shared" si="128"/>
        <v>-26.340733645382628</v>
      </c>
      <c r="AD329">
        <f t="shared" si="132"/>
        <v>0</v>
      </c>
      <c r="AE329">
        <f t="shared" si="135"/>
        <v>0</v>
      </c>
    </row>
    <row r="330" spans="1:31" x14ac:dyDescent="0.2">
      <c r="A330" s="347">
        <v>24127.75</v>
      </c>
      <c r="B330" s="364">
        <f t="shared" si="129"/>
        <v>24.127749999999999</v>
      </c>
      <c r="C330" s="337">
        <f t="shared" si="110"/>
        <v>1.0987009528898375</v>
      </c>
      <c r="D330" s="338">
        <f t="shared" si="111"/>
        <v>0.42711226347428521</v>
      </c>
      <c r="E330" s="338">
        <f t="shared" si="112"/>
        <v>1.0000010153572527</v>
      </c>
      <c r="F330" s="339">
        <f t="shared" si="113"/>
        <v>1.4250308021372976E-3</v>
      </c>
      <c r="G330" s="338">
        <f t="shared" si="114"/>
        <v>1</v>
      </c>
      <c r="H330" s="339">
        <f t="shared" si="115"/>
        <v>0</v>
      </c>
      <c r="I330" s="337">
        <f t="shared" si="116"/>
        <v>261967.28142497313</v>
      </c>
      <c r="J330" s="340">
        <f t="shared" si="117"/>
        <v>1.5707925095243025</v>
      </c>
      <c r="K330" s="348">
        <f t="shared" si="133"/>
        <v>4.1181970027326846</v>
      </c>
      <c r="L330" s="349">
        <f t="shared" si="134"/>
        <v>1.3255196688292585</v>
      </c>
      <c r="M330" s="337">
        <f t="shared" si="118"/>
        <v>1.0002676028104354</v>
      </c>
      <c r="N330" s="340">
        <f t="shared" si="119"/>
        <v>2.3131932388196958E-2</v>
      </c>
      <c r="O330" s="341">
        <f t="shared" si="120"/>
        <v>1.0001357117615433</v>
      </c>
      <c r="P330" s="342">
        <f t="shared" si="121"/>
        <v>3.6434072008334789E-2</v>
      </c>
      <c r="Q330" s="343">
        <f t="shared" si="122"/>
        <v>0.53129108086275056</v>
      </c>
      <c r="R330" s="344">
        <f t="shared" si="123"/>
        <v>-41.856061127934673</v>
      </c>
      <c r="S330" s="346">
        <f t="shared" si="124"/>
        <v>138.14393887206532</v>
      </c>
      <c r="U330" s="319">
        <f t="shared" si="130"/>
        <v>1000000000</v>
      </c>
      <c r="V330" s="319">
        <f t="shared" si="131"/>
        <v>582148320.0625</v>
      </c>
      <c r="X330" s="345">
        <f t="shared" si="125"/>
        <v>1.6341016424616157</v>
      </c>
      <c r="Y330" s="346">
        <f t="shared" si="126"/>
        <v>-15.378460716408712</v>
      </c>
      <c r="AA330" s="345">
        <f t="shared" si="127"/>
        <v>32.120818307333515</v>
      </c>
      <c r="AB330" s="346">
        <f t="shared" si="128"/>
        <v>-26.477600411525945</v>
      </c>
      <c r="AD330">
        <f t="shared" si="132"/>
        <v>0</v>
      </c>
      <c r="AE330">
        <f t="shared" si="135"/>
        <v>0</v>
      </c>
    </row>
    <row r="331" spans="1:31" x14ac:dyDescent="0.2">
      <c r="A331" s="347">
        <v>24267.5</v>
      </c>
      <c r="B331" s="364">
        <f t="shared" si="129"/>
        <v>24.267499999999998</v>
      </c>
      <c r="C331" s="337">
        <f t="shared" si="110"/>
        <v>1.0997955820807046</v>
      </c>
      <c r="D331" s="338">
        <f t="shared" si="111"/>
        <v>0.42929388704644589</v>
      </c>
      <c r="E331" s="338">
        <f t="shared" si="112"/>
        <v>1.0000010271533828</v>
      </c>
      <c r="F331" s="339">
        <f t="shared" si="113"/>
        <v>1.4332846916480706E-3</v>
      </c>
      <c r="G331" s="338">
        <f t="shared" si="114"/>
        <v>1</v>
      </c>
      <c r="H331" s="339">
        <f t="shared" si="115"/>
        <v>0</v>
      </c>
      <c r="I331" s="337">
        <f t="shared" si="116"/>
        <v>263484.61841572478</v>
      </c>
      <c r="J331" s="340">
        <f t="shared" si="117"/>
        <v>1.5707925315069362</v>
      </c>
      <c r="K331" s="348">
        <f t="shared" si="133"/>
        <v>4.1406473040672331</v>
      </c>
      <c r="L331" s="349">
        <f t="shared" si="134"/>
        <v>1.3268766381907975</v>
      </c>
      <c r="M331" s="337">
        <f t="shared" si="118"/>
        <v>1.0002707113242626</v>
      </c>
      <c r="N331" s="340">
        <f t="shared" si="119"/>
        <v>2.3265866321692311E-2</v>
      </c>
      <c r="O331" s="341">
        <f t="shared" si="120"/>
        <v>1.000137289952743</v>
      </c>
      <c r="P331" s="342">
        <f t="shared" si="121"/>
        <v>3.6645137671015009E-2</v>
      </c>
      <c r="Q331" s="343">
        <f t="shared" si="122"/>
        <v>0.51965923475849429</v>
      </c>
      <c r="R331" s="344">
        <f t="shared" si="123"/>
        <v>-41.922605701110214</v>
      </c>
      <c r="S331" s="346">
        <f t="shared" si="124"/>
        <v>138.07739429888977</v>
      </c>
      <c r="U331" s="319">
        <f t="shared" si="130"/>
        <v>1000000000</v>
      </c>
      <c r="V331" s="319">
        <f t="shared" si="131"/>
        <v>588911556.25</v>
      </c>
      <c r="X331" s="345">
        <f t="shared" si="125"/>
        <v>1.6311327919861092</v>
      </c>
      <c r="Y331" s="346">
        <f t="shared" si="126"/>
        <v>-15.308387207618903</v>
      </c>
      <c r="AA331" s="345">
        <f t="shared" si="127"/>
        <v>32.112155311704761</v>
      </c>
      <c r="AB331" s="346">
        <f t="shared" si="128"/>
        <v>-26.614218493491286</v>
      </c>
      <c r="AD331">
        <f t="shared" si="132"/>
        <v>0</v>
      </c>
      <c r="AE331">
        <f t="shared" si="135"/>
        <v>0</v>
      </c>
    </row>
    <row r="332" spans="1:31" x14ac:dyDescent="0.2">
      <c r="A332" s="347">
        <v>24407.25</v>
      </c>
      <c r="B332" s="364">
        <f t="shared" si="129"/>
        <v>24.407250000000001</v>
      </c>
      <c r="C332" s="337">
        <f t="shared" si="110"/>
        <v>1.1008954353043592</v>
      </c>
      <c r="D332" s="338">
        <f t="shared" si="111"/>
        <v>0.43147116184761219</v>
      </c>
      <c r="E332" s="338">
        <f t="shared" si="112"/>
        <v>1.0000010390176399</v>
      </c>
      <c r="F332" s="339">
        <f t="shared" si="113"/>
        <v>1.4415385809635535E-3</v>
      </c>
      <c r="G332" s="338">
        <f t="shared" si="114"/>
        <v>1</v>
      </c>
      <c r="H332" s="339">
        <f t="shared" si="115"/>
        <v>0</v>
      </c>
      <c r="I332" s="337">
        <f t="shared" si="116"/>
        <v>265001.95540647651</v>
      </c>
      <c r="J332" s="340">
        <f t="shared" si="117"/>
        <v>1.5707925532378357</v>
      </c>
      <c r="K332" s="348">
        <f t="shared" si="133"/>
        <v>4.1631051476077516</v>
      </c>
      <c r="L332" s="349">
        <f t="shared" si="134"/>
        <v>1.328218969677164</v>
      </c>
      <c r="M332" s="337">
        <f t="shared" si="118"/>
        <v>1.0002738377811327</v>
      </c>
      <c r="N332" s="340">
        <f t="shared" si="119"/>
        <v>2.3399799420342118E-2</v>
      </c>
      <c r="O332" s="341">
        <f t="shared" si="120"/>
        <v>1.0001388772940061</v>
      </c>
      <c r="P332" s="342">
        <f t="shared" si="121"/>
        <v>3.6856203963471057E-2</v>
      </c>
      <c r="Q332" s="343">
        <f t="shared" si="122"/>
        <v>0.50804298678088478</v>
      </c>
      <c r="R332" s="344">
        <f t="shared" si="123"/>
        <v>-41.989739770369042</v>
      </c>
      <c r="S332" s="346">
        <f t="shared" si="124"/>
        <v>138.01026022963094</v>
      </c>
      <c r="U332" s="319">
        <f t="shared" si="130"/>
        <v>1000000000</v>
      </c>
      <c r="V332" s="319">
        <f t="shared" si="131"/>
        <v>595713852.5625</v>
      </c>
      <c r="X332" s="345">
        <f t="shared" si="125"/>
        <v>1.6282122308936688</v>
      </c>
      <c r="Y332" s="346">
        <f t="shared" si="126"/>
        <v>-15.239152325042038</v>
      </c>
      <c r="AA332" s="345">
        <f t="shared" si="127"/>
        <v>32.103459624819592</v>
      </c>
      <c r="AB332" s="346">
        <f t="shared" si="128"/>
        <v>-26.750587445326985</v>
      </c>
      <c r="AD332">
        <f t="shared" si="132"/>
        <v>0</v>
      </c>
      <c r="AE332">
        <f t="shared" si="135"/>
        <v>0</v>
      </c>
    </row>
    <row r="333" spans="1:31" x14ac:dyDescent="0.2">
      <c r="A333" s="347">
        <v>24547</v>
      </c>
      <c r="B333" s="364">
        <f t="shared" si="129"/>
        <v>24.547000000000001</v>
      </c>
      <c r="C333" s="337">
        <f t="shared" ref="C333:C396" si="136">SQRT(1+(A333/pole1)^2)</f>
        <v>1.1020004969192403</v>
      </c>
      <c r="D333" s="338">
        <f t="shared" ref="D333:D396" si="137">ATAN(A333/pole1)</f>
        <v>0.43364408028678653</v>
      </c>
      <c r="E333" s="338">
        <f t="shared" ref="E333:E396" si="138">SQRT(1+(A333/Zero1)^2)</f>
        <v>1.0000010509500235</v>
      </c>
      <c r="F333" s="339">
        <f t="shared" ref="F333:F396" si="139">ATAN(A333/Zero1)</f>
        <v>1.4497924700826218E-3</v>
      </c>
      <c r="G333" s="338">
        <f t="shared" ref="G333:G396" si="140">IF(VIN_nom&gt;Vout, 1, SQRT(1+(A333/z_RHP)^2))</f>
        <v>1</v>
      </c>
      <c r="H333" s="339">
        <f t="shared" ref="H333:H396" si="141">IF(VIN_nom&gt;Vout, 0, -ATAN(A333/z_RHP))</f>
        <v>0</v>
      </c>
      <c r="I333" s="337">
        <f t="shared" ref="I333:I396" si="142">SQRT(1+(A333/Pole2)^2)</f>
        <v>266519.29239722848</v>
      </c>
      <c r="J333" s="340">
        <f t="shared" ref="J333:J396" si="143">ATAN(A333/Pole2)</f>
        <v>1.5707925747213001</v>
      </c>
      <c r="K333" s="348">
        <f t="shared" si="133"/>
        <v>4.1855704119502271</v>
      </c>
      <c r="L333" s="349">
        <f t="shared" si="134"/>
        <v>1.3295468941098012</v>
      </c>
      <c r="M333" s="337">
        <f t="shared" ref="M333:M396" si="144">SQRT(1+(A333/pole4)^2)</f>
        <v>1.0002769821808777</v>
      </c>
      <c r="N333" s="340">
        <f t="shared" ref="N333:N396" si="145">ATAN(A333/pole4)</f>
        <v>2.3533731679349232E-2</v>
      </c>
      <c r="O333" s="341">
        <f t="shared" ref="O333:O396" si="146">SQRT((1-(V333/pterm2))^2+(A333/pterm1)^2)</f>
        <v>1.000140473785945</v>
      </c>
      <c r="P333" s="342">
        <f t="shared" ref="P333:P396" si="147">IF((ATAN((A333/pterm1)/(1-A333^2/pterm2))&gt;0),ATAN((A333/pterm1)/(1-A333^2/pterm2)),PI()+ATAN((A333/pterm1)/(1-A333^2/pterm2)))</f>
        <v>3.7067270889309521E-2</v>
      </c>
      <c r="Q333" s="343">
        <f t="shared" ref="Q333:Q396" si="148">20*LOG10(((E333*K333*G333)/(C333*I333*O333*M333))*Adc)</f>
        <v>0.49644151862791497</v>
      </c>
      <c r="R333" s="344">
        <f t="shared" ref="R333:R396" si="149">((F333+L333+H333)-(D333+J333+P333+N333))*radconv</f>
        <v>-42.057449675862664</v>
      </c>
      <c r="S333" s="346">
        <f t="shared" ref="S333:S396" si="150">IF(R333&gt;0,R333,R333+180)</f>
        <v>137.94255032413733</v>
      </c>
      <c r="U333" s="319">
        <f t="shared" si="130"/>
        <v>1000000000</v>
      </c>
      <c r="V333" s="319">
        <f t="shared" si="131"/>
        <v>602555209</v>
      </c>
      <c r="X333" s="345">
        <f t="shared" ref="X333:X396" si="151">20*LOG10((K333/(I333*M333))*AEA)</f>
        <v>1.625338911293561</v>
      </c>
      <c r="Y333" s="346">
        <f t="shared" ref="Y333:Y396" si="152">(L333-(J333+N333))*radconv</f>
        <v>-15.170742843555047</v>
      </c>
      <c r="AA333" s="345">
        <f t="shared" ref="AA333:AA396" si="153">20*LOG10((E333*G333/(C333*O333))*Acs*Am)</f>
        <v>32.094731476266738</v>
      </c>
      <c r="AB333" s="346">
        <f t="shared" ref="AB333:AB396" si="154">(F333+H333-(D333+P333))*radconv</f>
        <v>-26.88670683230762</v>
      </c>
      <c r="AD333">
        <f t="shared" si="132"/>
        <v>0</v>
      </c>
      <c r="AE333">
        <f t="shared" si="135"/>
        <v>0</v>
      </c>
    </row>
    <row r="334" spans="1:31" x14ac:dyDescent="0.2">
      <c r="A334" s="347">
        <v>24690</v>
      </c>
      <c r="B334" s="364">
        <f t="shared" ref="B334:B397" si="155">A334/1000</f>
        <v>24.69</v>
      </c>
      <c r="C334" s="337">
        <f t="shared" si="136"/>
        <v>1.1031366328004346</v>
      </c>
      <c r="D334" s="338">
        <f t="shared" si="137"/>
        <v>0.43586301449250048</v>
      </c>
      <c r="E334" s="338">
        <f t="shared" si="138"/>
        <v>1.0000010632304261</v>
      </c>
      <c r="F334" s="339">
        <f t="shared" si="139"/>
        <v>1.4582383099069436E-3</v>
      </c>
      <c r="G334" s="338">
        <f t="shared" si="140"/>
        <v>1</v>
      </c>
      <c r="H334" s="339">
        <f t="shared" si="141"/>
        <v>0</v>
      </c>
      <c r="I334" s="337">
        <f t="shared" si="142"/>
        <v>268071.9162947422</v>
      </c>
      <c r="J334" s="340">
        <f t="shared" si="143"/>
        <v>1.5707925964526295</v>
      </c>
      <c r="K334" s="348">
        <f t="shared" si="133"/>
        <v>4.2085656820066815</v>
      </c>
      <c r="L334" s="349">
        <f t="shared" si="134"/>
        <v>1.3308910228155917</v>
      </c>
      <c r="M334" s="337">
        <f t="shared" si="144"/>
        <v>1.0002802182796622</v>
      </c>
      <c r="N334" s="340">
        <f t="shared" si="145"/>
        <v>2.3670777767890474E-2</v>
      </c>
      <c r="O334" s="341">
        <f t="shared" si="146"/>
        <v>1.0001421168786055</v>
      </c>
      <c r="P334" s="342">
        <f t="shared" si="147"/>
        <v>3.7283247007717367E-2</v>
      </c>
      <c r="Q334" s="343">
        <f t="shared" si="148"/>
        <v>0.48458472366033922</v>
      </c>
      <c r="R334" s="344">
        <f t="shared" si="149"/>
        <v>-42.127316355652617</v>
      </c>
      <c r="S334" s="346">
        <f t="shared" si="150"/>
        <v>137.87268364434738</v>
      </c>
      <c r="U334" s="319">
        <f t="shared" ref="U334:U397" si="156">IF(Q334&lt;0,A334,1000000000)</f>
        <v>1000000000</v>
      </c>
      <c r="V334" s="319">
        <f t="shared" ref="V334:V397" si="157">A334^2</f>
        <v>609596100</v>
      </c>
      <c r="X334" s="345">
        <f t="shared" si="151"/>
        <v>1.6224466086830809</v>
      </c>
      <c r="Y334" s="346">
        <f t="shared" si="152"/>
        <v>-15.101583349097492</v>
      </c>
      <c r="AA334" s="345">
        <f t="shared" si="153"/>
        <v>32.085766983909636</v>
      </c>
      <c r="AB334" s="346">
        <f t="shared" si="154"/>
        <v>-27.025733006555114</v>
      </c>
      <c r="AD334">
        <f t="shared" ref="AD334:AD397" si="158">SUM((Q335&lt;0)*(Q334&gt;0))*A334</f>
        <v>0</v>
      </c>
      <c r="AE334">
        <f t="shared" si="135"/>
        <v>0</v>
      </c>
    </row>
    <row r="335" spans="1:31" x14ac:dyDescent="0.2">
      <c r="A335" s="347">
        <v>24833</v>
      </c>
      <c r="B335" s="364">
        <f t="shared" si="155"/>
        <v>24.832999999999998</v>
      </c>
      <c r="C335" s="337">
        <f t="shared" si="136"/>
        <v>1.1042781889693509</v>
      </c>
      <c r="D335" s="338">
        <f t="shared" si="137"/>
        <v>0.43807737190124446</v>
      </c>
      <c r="E335" s="338">
        <f t="shared" si="138"/>
        <v>1.0000010755821613</v>
      </c>
      <c r="F335" s="339">
        <f t="shared" si="139"/>
        <v>1.4666841495232263E-3</v>
      </c>
      <c r="G335" s="338">
        <f t="shared" si="140"/>
        <v>1</v>
      </c>
      <c r="H335" s="339">
        <f t="shared" si="141"/>
        <v>0</v>
      </c>
      <c r="I335" s="337">
        <f t="shared" si="142"/>
        <v>269624.54019225598</v>
      </c>
      <c r="J335" s="340">
        <f t="shared" si="143"/>
        <v>1.5707926179336806</v>
      </c>
      <c r="K335" s="348">
        <f t="shared" si="133"/>
        <v>4.2315684729563428</v>
      </c>
      <c r="L335" s="349">
        <f t="shared" si="134"/>
        <v>1.3322205405440972</v>
      </c>
      <c r="M335" s="337">
        <f t="shared" si="144"/>
        <v>1.0002834731652186</v>
      </c>
      <c r="N335" s="340">
        <f t="shared" si="145"/>
        <v>2.3807822967119793E-2</v>
      </c>
      <c r="O335" s="341">
        <f t="shared" si="146"/>
        <v>1.0001437695538113</v>
      </c>
      <c r="P335" s="342">
        <f t="shared" si="147"/>
        <v>3.7499223796949088E-2</v>
      </c>
      <c r="Q335" s="343">
        <f t="shared" si="148"/>
        <v>0.47274175808866253</v>
      </c>
      <c r="R335" s="344">
        <f t="shared" si="149"/>
        <v>-42.197757924779708</v>
      </c>
      <c r="S335" s="346">
        <f t="shared" si="150"/>
        <v>137.80224207522031</v>
      </c>
      <c r="U335" s="319">
        <f t="shared" si="156"/>
        <v>1000000000</v>
      </c>
      <c r="V335" s="319">
        <f t="shared" si="157"/>
        <v>616677889</v>
      </c>
      <c r="X335" s="345">
        <f t="shared" si="151"/>
        <v>1.6196016390277259</v>
      </c>
      <c r="Y335" s="346">
        <f t="shared" si="152"/>
        <v>-15.033260936680175</v>
      </c>
      <c r="AA335" s="345">
        <f t="shared" si="153"/>
        <v>32.076768987993319</v>
      </c>
      <c r="AB335" s="346">
        <f t="shared" si="154"/>
        <v>-27.16449698809954</v>
      </c>
      <c r="AD335">
        <f t="shared" si="158"/>
        <v>0</v>
      </c>
      <c r="AE335">
        <f t="shared" si="135"/>
        <v>0</v>
      </c>
    </row>
    <row r="336" spans="1:31" x14ac:dyDescent="0.2">
      <c r="A336" s="347">
        <v>24976</v>
      </c>
      <c r="B336" s="364">
        <f t="shared" si="155"/>
        <v>24.975999999999999</v>
      </c>
      <c r="C336" s="337">
        <f t="shared" si="136"/>
        <v>1.1054251486336368</v>
      </c>
      <c r="D336" s="338">
        <f t="shared" si="137"/>
        <v>0.44028714501022503</v>
      </c>
      <c r="E336" s="338">
        <f t="shared" si="138"/>
        <v>1.0000010880052286</v>
      </c>
      <c r="F336" s="339">
        <f t="shared" si="139"/>
        <v>1.4751299889302651E-3</v>
      </c>
      <c r="G336" s="338">
        <f t="shared" si="140"/>
        <v>1</v>
      </c>
      <c r="H336" s="339">
        <f t="shared" si="141"/>
        <v>0</v>
      </c>
      <c r="I336" s="337">
        <f t="shared" si="142"/>
        <v>271177.16408976988</v>
      </c>
      <c r="J336" s="340">
        <f t="shared" si="143"/>
        <v>1.5707926391687523</v>
      </c>
      <c r="K336" s="348">
        <f t="shared" si="133"/>
        <v>4.2545786628119</v>
      </c>
      <c r="L336" s="349">
        <f t="shared" si="134"/>
        <v>1.3335356796198541</v>
      </c>
      <c r="M336" s="337">
        <f t="shared" si="144"/>
        <v>1.0002867468373631</v>
      </c>
      <c r="N336" s="340">
        <f t="shared" si="145"/>
        <v>2.3944867271898099E-2</v>
      </c>
      <c r="O336" s="341">
        <f t="shared" si="146"/>
        <v>1.00014543181223</v>
      </c>
      <c r="P336" s="342">
        <f t="shared" si="147"/>
        <v>3.7715201260867637E-2</v>
      </c>
      <c r="Q336" s="343">
        <f t="shared" si="148"/>
        <v>0.46091183217042486</v>
      </c>
      <c r="R336" s="344">
        <f t="shared" si="149"/>
        <v>-42.268760642323421</v>
      </c>
      <c r="S336" s="346">
        <f t="shared" si="150"/>
        <v>137.73123935767657</v>
      </c>
      <c r="U336" s="319">
        <f t="shared" si="156"/>
        <v>1000000000</v>
      </c>
      <c r="V336" s="319">
        <f t="shared" si="157"/>
        <v>623800576</v>
      </c>
      <c r="X336" s="345">
        <f t="shared" si="151"/>
        <v>1.6168029675085147</v>
      </c>
      <c r="Y336" s="346">
        <f t="shared" si="152"/>
        <v>-14.965762295039532</v>
      </c>
      <c r="AA336" s="345">
        <f t="shared" si="153"/>
        <v>32.067737733594292</v>
      </c>
      <c r="AB336" s="346">
        <f t="shared" si="154"/>
        <v>-27.302998347283889</v>
      </c>
      <c r="AD336">
        <f t="shared" si="158"/>
        <v>0</v>
      </c>
      <c r="AE336">
        <f t="shared" si="135"/>
        <v>0</v>
      </c>
    </row>
    <row r="337" spans="1:31" x14ac:dyDescent="0.2">
      <c r="A337" s="347">
        <v>25119</v>
      </c>
      <c r="B337" s="364">
        <f t="shared" si="155"/>
        <v>25.119</v>
      </c>
      <c r="C337" s="337">
        <f t="shared" si="136"/>
        <v>1.1065774949912397</v>
      </c>
      <c r="D337" s="338">
        <f t="shared" si="137"/>
        <v>0.4424923265267649</v>
      </c>
      <c r="E337" s="338">
        <f t="shared" si="138"/>
        <v>1.0000011004996281</v>
      </c>
      <c r="F337" s="339">
        <f t="shared" si="139"/>
        <v>1.4835758281268553E-3</v>
      </c>
      <c r="G337" s="338">
        <f t="shared" si="140"/>
        <v>1</v>
      </c>
      <c r="H337" s="339">
        <f t="shared" si="141"/>
        <v>0</v>
      </c>
      <c r="I337" s="337">
        <f t="shared" si="142"/>
        <v>272729.78798728395</v>
      </c>
      <c r="J337" s="340">
        <f t="shared" si="143"/>
        <v>1.5707926601620459</v>
      </c>
      <c r="K337" s="348">
        <f t="shared" si="133"/>
        <v>4.2775961321720244</v>
      </c>
      <c r="L337" s="349">
        <f t="shared" si="134"/>
        <v>1.3348366675682799</v>
      </c>
      <c r="M337" s="337">
        <f t="shared" si="144"/>
        <v>1.0002900392959113</v>
      </c>
      <c r="N337" s="340">
        <f t="shared" si="145"/>
        <v>2.4081910677086499E-2</v>
      </c>
      <c r="O337" s="341">
        <f t="shared" si="146"/>
        <v>1.0001471036545324</v>
      </c>
      <c r="P337" s="342">
        <f t="shared" si="147"/>
        <v>3.7931179403335583E-2</v>
      </c>
      <c r="Q337" s="343">
        <f t="shared" si="148"/>
        <v>0.44909418360374181</v>
      </c>
      <c r="R337" s="344">
        <f t="shared" si="149"/>
        <v>-42.340311054365586</v>
      </c>
      <c r="S337" s="346">
        <f t="shared" si="150"/>
        <v>137.6596889456344</v>
      </c>
      <c r="U337" s="319">
        <f t="shared" si="156"/>
        <v>1000000000</v>
      </c>
      <c r="V337" s="319">
        <f t="shared" si="157"/>
        <v>630964161</v>
      </c>
      <c r="X337" s="345">
        <f t="shared" si="151"/>
        <v>1.6140495870820057</v>
      </c>
      <c r="Y337" s="346">
        <f t="shared" si="152"/>
        <v>-14.899074387875661</v>
      </c>
      <c r="AA337" s="345">
        <f t="shared" si="153"/>
        <v>32.058673465454113</v>
      </c>
      <c r="AB337" s="346">
        <f t="shared" si="154"/>
        <v>-27.441236666489921</v>
      </c>
      <c r="AD337">
        <f t="shared" si="158"/>
        <v>0</v>
      </c>
      <c r="AE337">
        <f t="shared" si="135"/>
        <v>0</v>
      </c>
    </row>
    <row r="338" spans="1:31" x14ac:dyDescent="0.2">
      <c r="A338" s="347">
        <v>25265.25</v>
      </c>
      <c r="B338" s="364">
        <f t="shared" si="155"/>
        <v>25.265250000000002</v>
      </c>
      <c r="C338" s="337">
        <f t="shared" si="136"/>
        <v>1.1077615852404654</v>
      </c>
      <c r="D338" s="338">
        <f t="shared" si="137"/>
        <v>0.44474286911381972</v>
      </c>
      <c r="E338" s="338">
        <f t="shared" si="138"/>
        <v>1.0000011133517739</v>
      </c>
      <c r="F338" s="339">
        <f t="shared" si="139"/>
        <v>1.492213617995344E-3</v>
      </c>
      <c r="G338" s="338">
        <f t="shared" si="140"/>
        <v>1</v>
      </c>
      <c r="H338" s="339">
        <f t="shared" si="141"/>
        <v>0</v>
      </c>
      <c r="I338" s="337">
        <f t="shared" si="142"/>
        <v>274317.69879155984</v>
      </c>
      <c r="J338" s="340">
        <f t="shared" si="143"/>
        <v>1.5707926813866551</v>
      </c>
      <c r="K338" s="348">
        <f t="shared" si="133"/>
        <v>4.3011441335867131</v>
      </c>
      <c r="L338" s="349">
        <f t="shared" si="134"/>
        <v>1.3361528184383049</v>
      </c>
      <c r="M338" s="337">
        <f t="shared" si="144"/>
        <v>1.0002934260145708</v>
      </c>
      <c r="N338" s="340">
        <f t="shared" si="145"/>
        <v>2.422206776927455E-2</v>
      </c>
      <c r="O338" s="341">
        <f t="shared" si="146"/>
        <v>1.0001488234070364</v>
      </c>
      <c r="P338" s="342">
        <f t="shared" si="147"/>
        <v>3.8152066845832659E-2</v>
      </c>
      <c r="Q338" s="343">
        <f t="shared" si="148"/>
        <v>0.43701988454073687</v>
      </c>
      <c r="R338" s="344">
        <f t="shared" si="149"/>
        <v>-42.414040391478096</v>
      </c>
      <c r="S338" s="346">
        <f t="shared" si="150"/>
        <v>137.5859596085219</v>
      </c>
      <c r="U338" s="319">
        <f t="shared" si="156"/>
        <v>1000000000</v>
      </c>
      <c r="V338" s="319">
        <f t="shared" si="157"/>
        <v>638332857.5625</v>
      </c>
      <c r="X338" s="345">
        <f t="shared" si="151"/>
        <v>1.6112794552896261</v>
      </c>
      <c r="Y338" s="346">
        <f t="shared" si="152"/>
        <v>-14.831696123675503</v>
      </c>
      <c r="AA338" s="345">
        <f t="shared" si="153"/>
        <v>32.049369298183493</v>
      </c>
      <c r="AB338" s="346">
        <f t="shared" si="154"/>
        <v>-27.582344267802593</v>
      </c>
      <c r="AD338">
        <f t="shared" si="158"/>
        <v>0</v>
      </c>
      <c r="AE338">
        <f t="shared" si="135"/>
        <v>0</v>
      </c>
    </row>
    <row r="339" spans="1:31" x14ac:dyDescent="0.2">
      <c r="A339" s="347">
        <v>25411.5</v>
      </c>
      <c r="B339" s="364">
        <f t="shared" si="155"/>
        <v>25.4115</v>
      </c>
      <c r="C339" s="337">
        <f t="shared" si="136"/>
        <v>1.1089512742394141</v>
      </c>
      <c r="D339" s="338">
        <f t="shared" si="137"/>
        <v>0.44698859426623605</v>
      </c>
      <c r="E339" s="338">
        <f t="shared" si="138"/>
        <v>1.0000011262785311</v>
      </c>
      <c r="F339" s="339">
        <f t="shared" si="139"/>
        <v>1.5008514076411601E-3</v>
      </c>
      <c r="G339" s="338">
        <f t="shared" si="140"/>
        <v>1</v>
      </c>
      <c r="H339" s="339">
        <f t="shared" si="141"/>
        <v>0</v>
      </c>
      <c r="I339" s="337">
        <f t="shared" si="142"/>
        <v>275905.60959583579</v>
      </c>
      <c r="J339" s="340">
        <f t="shared" si="143"/>
        <v>1.5707927023669574</v>
      </c>
      <c r="K339" s="348">
        <f t="shared" si="133"/>
        <v>4.3246995045263912</v>
      </c>
      <c r="L339" s="349">
        <f t="shared" si="134"/>
        <v>1.3374546341667428</v>
      </c>
      <c r="M339" s="337">
        <f t="shared" si="144"/>
        <v>1.0002968323828714</v>
      </c>
      <c r="N339" s="340">
        <f t="shared" si="145"/>
        <v>2.4362223909645809E-2</v>
      </c>
      <c r="O339" s="341">
        <f t="shared" si="146"/>
        <v>1.0001505531854378</v>
      </c>
      <c r="P339" s="342">
        <f t="shared" si="147"/>
        <v>3.8372955006243638E-2</v>
      </c>
      <c r="Q339" s="343">
        <f t="shared" si="148"/>
        <v>0.42495689845500106</v>
      </c>
      <c r="R339" s="344">
        <f t="shared" si="149"/>
        <v>-42.488315025643388</v>
      </c>
      <c r="S339" s="346">
        <f t="shared" si="150"/>
        <v>137.51168497435663</v>
      </c>
      <c r="U339" s="319">
        <f t="shared" si="156"/>
        <v>1000000000</v>
      </c>
      <c r="V339" s="319">
        <f t="shared" si="157"/>
        <v>645744332.25</v>
      </c>
      <c r="X339" s="345">
        <f t="shared" si="151"/>
        <v>1.6085546512248534</v>
      </c>
      <c r="Y339" s="346">
        <f t="shared" si="152"/>
        <v>-14.765139134055097</v>
      </c>
      <c r="AA339" s="345">
        <f t="shared" si="153"/>
        <v>32.040031116162524</v>
      </c>
      <c r="AB339" s="346">
        <f t="shared" si="154"/>
        <v>-27.723175891588276</v>
      </c>
      <c r="AD339">
        <f t="shared" si="158"/>
        <v>0</v>
      </c>
      <c r="AE339">
        <f t="shared" si="135"/>
        <v>0</v>
      </c>
    </row>
    <row r="340" spans="1:31" x14ac:dyDescent="0.2">
      <c r="A340" s="347">
        <v>25557.75</v>
      </c>
      <c r="B340" s="364">
        <f t="shared" si="155"/>
        <v>25.557749999999999</v>
      </c>
      <c r="C340" s="337">
        <f t="shared" si="136"/>
        <v>1.1101465439883784</v>
      </c>
      <c r="D340" s="338">
        <f t="shared" si="137"/>
        <v>0.44922949485665958</v>
      </c>
      <c r="E340" s="338">
        <f t="shared" si="138"/>
        <v>1.0000011392798998</v>
      </c>
      <c r="F340" s="339">
        <f t="shared" si="139"/>
        <v>1.5094891970630147E-3</v>
      </c>
      <c r="G340" s="338">
        <f t="shared" si="140"/>
        <v>1</v>
      </c>
      <c r="H340" s="339">
        <f t="shared" si="141"/>
        <v>0</v>
      </c>
      <c r="I340" s="337">
        <f t="shared" si="142"/>
        <v>277493.52040011197</v>
      </c>
      <c r="J340" s="340">
        <f t="shared" si="143"/>
        <v>1.5707927231071472</v>
      </c>
      <c r="K340" s="348">
        <f t="shared" si="133"/>
        <v>4.3482621252246636</v>
      </c>
      <c r="L340" s="349">
        <f t="shared" si="134"/>
        <v>1.3387423433452696</v>
      </c>
      <c r="M340" s="337">
        <f t="shared" si="144"/>
        <v>1.0003002584006127</v>
      </c>
      <c r="N340" s="340">
        <f t="shared" si="145"/>
        <v>2.4502379092703652E-2</v>
      </c>
      <c r="O340" s="341">
        <f t="shared" si="146"/>
        <v>1.0001522929904669</v>
      </c>
      <c r="P340" s="342">
        <f t="shared" si="147"/>
        <v>3.8593843888699207E-2</v>
      </c>
      <c r="Q340" s="343">
        <f t="shared" si="148"/>
        <v>0.41290449321164652</v>
      </c>
      <c r="R340" s="344">
        <f t="shared" si="149"/>
        <v>-42.563121451317947</v>
      </c>
      <c r="S340" s="346">
        <f t="shared" si="150"/>
        <v>137.43687854868205</v>
      </c>
      <c r="U340" s="319">
        <f t="shared" si="156"/>
        <v>1000000000</v>
      </c>
      <c r="V340" s="319">
        <f t="shared" si="157"/>
        <v>653198585.0625</v>
      </c>
      <c r="X340" s="345">
        <f t="shared" si="151"/>
        <v>1.6058741821245994</v>
      </c>
      <c r="Y340" s="346">
        <f t="shared" si="152"/>
        <v>-14.69939032160157</v>
      </c>
      <c r="AA340" s="345">
        <f t="shared" si="153"/>
        <v>32.030659180019427</v>
      </c>
      <c r="AB340" s="346">
        <f t="shared" si="154"/>
        <v>-27.863731129716395</v>
      </c>
      <c r="AD340">
        <f t="shared" si="158"/>
        <v>0</v>
      </c>
      <c r="AE340">
        <f t="shared" si="135"/>
        <v>0</v>
      </c>
    </row>
    <row r="341" spans="1:31" x14ac:dyDescent="0.2">
      <c r="A341" s="347">
        <v>25704</v>
      </c>
      <c r="B341" s="364">
        <f t="shared" si="155"/>
        <v>25.704000000000001</v>
      </c>
      <c r="C341" s="337">
        <f t="shared" si="136"/>
        <v>1.1113473764808328</v>
      </c>
      <c r="D341" s="338">
        <f t="shared" si="137"/>
        <v>0.4514655639821426</v>
      </c>
      <c r="E341" s="338">
        <f t="shared" si="138"/>
        <v>1.0000011523558798</v>
      </c>
      <c r="F341" s="339">
        <f t="shared" si="139"/>
        <v>1.518126986259619E-3</v>
      </c>
      <c r="G341" s="338">
        <f t="shared" si="140"/>
        <v>1</v>
      </c>
      <c r="H341" s="339">
        <f t="shared" si="141"/>
        <v>0</v>
      </c>
      <c r="I341" s="337">
        <f t="shared" si="142"/>
        <v>279081.43120438815</v>
      </c>
      <c r="J341" s="340">
        <f t="shared" si="143"/>
        <v>1.5707927436113229</v>
      </c>
      <c r="K341" s="348">
        <f t="shared" si="133"/>
        <v>4.3718318784606627</v>
      </c>
      <c r="L341" s="349">
        <f t="shared" si="134"/>
        <v>1.3400161698253727</v>
      </c>
      <c r="M341" s="337">
        <f t="shared" si="144"/>
        <v>1.0003037040675924</v>
      </c>
      <c r="N341" s="340">
        <f t="shared" si="145"/>
        <v>2.4642533312951662E-2</v>
      </c>
      <c r="O341" s="341">
        <f t="shared" si="146"/>
        <v>1.0001540428228584</v>
      </c>
      <c r="P341" s="342">
        <f t="shared" si="147"/>
        <v>3.881473349732964E-2</v>
      </c>
      <c r="Q341" s="343">
        <f t="shared" si="148"/>
        <v>0.40086196294220616</v>
      </c>
      <c r="R341" s="344">
        <f t="shared" si="149"/>
        <v>-42.638446447403219</v>
      </c>
      <c r="S341" s="346">
        <f t="shared" si="150"/>
        <v>137.36155355259677</v>
      </c>
      <c r="U341" s="319">
        <f t="shared" si="156"/>
        <v>1000000000</v>
      </c>
      <c r="V341" s="319">
        <f t="shared" si="157"/>
        <v>660695616</v>
      </c>
      <c r="X341" s="345">
        <f t="shared" si="151"/>
        <v>1.6032370819222508</v>
      </c>
      <c r="Y341" s="346">
        <f t="shared" si="152"/>
        <v>-14.63443686048932</v>
      </c>
      <c r="AA341" s="345">
        <f t="shared" si="153"/>
        <v>32.021253749952329</v>
      </c>
      <c r="AB341" s="346">
        <f t="shared" si="154"/>
        <v>-28.004009586913902</v>
      </c>
      <c r="AD341">
        <f t="shared" si="158"/>
        <v>0</v>
      </c>
      <c r="AE341">
        <f t="shared" si="135"/>
        <v>0</v>
      </c>
    </row>
    <row r="342" spans="1:31" x14ac:dyDescent="0.2">
      <c r="A342" s="347">
        <v>25853.75</v>
      </c>
      <c r="B342" s="364">
        <f t="shared" si="155"/>
        <v>25.853750000000002</v>
      </c>
      <c r="C342" s="337">
        <f t="shared" si="136"/>
        <v>1.1125826920564912</v>
      </c>
      <c r="D342" s="338">
        <f t="shared" si="137"/>
        <v>0.45375013261184127</v>
      </c>
      <c r="E342" s="338">
        <f t="shared" si="138"/>
        <v>1.0000011658221006</v>
      </c>
      <c r="F342" s="339">
        <f t="shared" si="139"/>
        <v>1.5269714915441301E-3</v>
      </c>
      <c r="G342" s="338">
        <f t="shared" si="140"/>
        <v>1</v>
      </c>
      <c r="H342" s="339">
        <f t="shared" si="141"/>
        <v>0</v>
      </c>
      <c r="I342" s="337">
        <f t="shared" si="142"/>
        <v>280707.34329286945</v>
      </c>
      <c r="J342" s="340">
        <f t="shared" si="143"/>
        <v>1.5707927643658264</v>
      </c>
      <c r="K342" s="348">
        <f t="shared" si="133"/>
        <v>4.3959729649605803</v>
      </c>
      <c r="L342" s="349">
        <f t="shared" si="134"/>
        <v>1.3413063249620096</v>
      </c>
      <c r="M342" s="337">
        <f t="shared" si="144"/>
        <v>1.0003072525549892</v>
      </c>
      <c r="N342" s="340">
        <f t="shared" si="145"/>
        <v>2.4786040647902657E-2</v>
      </c>
      <c r="O342" s="341">
        <f t="shared" si="146"/>
        <v>1.0001558449225425</v>
      </c>
      <c r="P342" s="342">
        <f t="shared" si="147"/>
        <v>3.9040910109768241E-2</v>
      </c>
      <c r="Q342" s="343">
        <f t="shared" si="148"/>
        <v>0.3885407570960811</v>
      </c>
      <c r="R342" s="344">
        <f t="shared" si="149"/>
        <v>-42.716097909995177</v>
      </c>
      <c r="S342" s="346">
        <f t="shared" si="150"/>
        <v>137.28390209000483</v>
      </c>
      <c r="U342" s="319">
        <f t="shared" si="156"/>
        <v>1000000000</v>
      </c>
      <c r="V342" s="319">
        <f t="shared" si="157"/>
        <v>668416389.0625</v>
      </c>
      <c r="X342" s="345">
        <f t="shared" si="151"/>
        <v>1.6005808279242417</v>
      </c>
      <c r="Y342" s="346">
        <f t="shared" si="152"/>
        <v>-14.568739969935145</v>
      </c>
      <c r="AA342" s="345">
        <f t="shared" si="153"/>
        <v>32.011588798104221</v>
      </c>
      <c r="AB342" s="346">
        <f t="shared" si="154"/>
        <v>-28.14735794006004</v>
      </c>
      <c r="AD342">
        <f t="shared" si="158"/>
        <v>0</v>
      </c>
      <c r="AE342">
        <f t="shared" si="135"/>
        <v>0</v>
      </c>
    </row>
    <row r="343" spans="1:31" x14ac:dyDescent="0.2">
      <c r="A343" s="347">
        <v>26003.5</v>
      </c>
      <c r="B343" s="364">
        <f t="shared" si="155"/>
        <v>26.003499999999999</v>
      </c>
      <c r="C343" s="337">
        <f t="shared" si="136"/>
        <v>1.11382380158548</v>
      </c>
      <c r="D343" s="338">
        <f t="shared" si="137"/>
        <v>0.4560296218269056</v>
      </c>
      <c r="E343" s="338">
        <f t="shared" si="138"/>
        <v>1.0000011793665466</v>
      </c>
      <c r="F343" s="339">
        <f t="shared" si="139"/>
        <v>1.5358159965897455E-3</v>
      </c>
      <c r="G343" s="338">
        <f t="shared" si="140"/>
        <v>1</v>
      </c>
      <c r="H343" s="339">
        <f t="shared" si="141"/>
        <v>0</v>
      </c>
      <c r="I343" s="337">
        <f t="shared" si="142"/>
        <v>282333.25538135081</v>
      </c>
      <c r="J343" s="340">
        <f t="shared" si="143"/>
        <v>1.5707927848812859</v>
      </c>
      <c r="K343" s="348">
        <f t="shared" ref="K343:K406" si="159">SQRT(1+(A343/Zero2)^2)</f>
        <v>4.4201212886250225</v>
      </c>
      <c r="L343" s="349">
        <f t="shared" ref="L343:L406" si="160">ATAN(A343/Zero2)</f>
        <v>1.3425823852671923</v>
      </c>
      <c r="M343" s="337">
        <f t="shared" si="144"/>
        <v>1.0003108216429226</v>
      </c>
      <c r="N343" s="340">
        <f t="shared" si="145"/>
        <v>2.4929546961746762E-2</v>
      </c>
      <c r="O343" s="341">
        <f t="shared" si="146"/>
        <v>1.0001576575368463</v>
      </c>
      <c r="P343" s="342">
        <f t="shared" si="147"/>
        <v>3.9267087492317533E-2</v>
      </c>
      <c r="Q343" s="343">
        <f t="shared" si="148"/>
        <v>0.37622848738533121</v>
      </c>
      <c r="R343" s="344">
        <f t="shared" si="149"/>
        <v>-42.794265889858544</v>
      </c>
      <c r="S343" s="346">
        <f t="shared" si="150"/>
        <v>137.20573411014146</v>
      </c>
      <c r="U343" s="319">
        <f t="shared" si="156"/>
        <v>1000000000</v>
      </c>
      <c r="V343" s="319">
        <f t="shared" si="157"/>
        <v>676182012.25</v>
      </c>
      <c r="X343" s="345">
        <f t="shared" si="151"/>
        <v>1.5979680756139354</v>
      </c>
      <c r="Y343" s="346">
        <f t="shared" si="152"/>
        <v>-14.503850581535854</v>
      </c>
      <c r="AA343" s="345">
        <f t="shared" si="153"/>
        <v>32.001889280703772</v>
      </c>
      <c r="AB343" s="346">
        <f t="shared" si="154"/>
        <v>-28.290415308322675</v>
      </c>
      <c r="AD343">
        <f t="shared" si="158"/>
        <v>0</v>
      </c>
      <c r="AE343">
        <f t="shared" si="135"/>
        <v>0</v>
      </c>
    </row>
    <row r="344" spans="1:31" x14ac:dyDescent="0.2">
      <c r="A344" s="347">
        <v>26153.25</v>
      </c>
      <c r="B344" s="364">
        <f t="shared" si="155"/>
        <v>26.15325</v>
      </c>
      <c r="C344" s="337">
        <f t="shared" si="136"/>
        <v>1.1150706857212305</v>
      </c>
      <c r="D344" s="338">
        <f t="shared" si="137"/>
        <v>0.45830402493882988</v>
      </c>
      <c r="E344" s="338">
        <f t="shared" si="138"/>
        <v>1.0000011929892183</v>
      </c>
      <c r="F344" s="339">
        <f t="shared" si="139"/>
        <v>1.5446605013950813E-3</v>
      </c>
      <c r="G344" s="338">
        <f t="shared" si="140"/>
        <v>1</v>
      </c>
      <c r="H344" s="339">
        <f t="shared" si="141"/>
        <v>0</v>
      </c>
      <c r="I344" s="337">
        <f t="shared" si="142"/>
        <v>283959.16746983235</v>
      </c>
      <c r="J344" s="340">
        <f t="shared" si="143"/>
        <v>1.5707928051618079</v>
      </c>
      <c r="K344" s="348">
        <f t="shared" si="159"/>
        <v>4.4442767314829021</v>
      </c>
      <c r="L344" s="349">
        <f t="shared" si="160"/>
        <v>1.3438445763748235</v>
      </c>
      <c r="M344" s="337">
        <f t="shared" si="144"/>
        <v>1.0003144113311717</v>
      </c>
      <c r="N344" s="340">
        <f t="shared" si="145"/>
        <v>2.5073052248584179E-2</v>
      </c>
      <c r="O344" s="341">
        <f t="shared" si="146"/>
        <v>1.0001594806665719</v>
      </c>
      <c r="P344" s="342">
        <f t="shared" si="147"/>
        <v>3.9493265649410053E-2</v>
      </c>
      <c r="Q344" s="343">
        <f t="shared" si="148"/>
        <v>0.36392447609118922</v>
      </c>
      <c r="R344" s="344">
        <f t="shared" si="149"/>
        <v>-42.872937076051016</v>
      </c>
      <c r="S344" s="346">
        <f t="shared" si="150"/>
        <v>137.12706292394898</v>
      </c>
      <c r="U344" s="319">
        <f t="shared" si="156"/>
        <v>1000000000</v>
      </c>
      <c r="V344" s="319">
        <f t="shared" si="157"/>
        <v>683992485.5625</v>
      </c>
      <c r="X344" s="345">
        <f t="shared" si="151"/>
        <v>1.59539786944576</v>
      </c>
      <c r="Y344" s="346">
        <f t="shared" si="152"/>
        <v>-14.439755767318323</v>
      </c>
      <c r="AA344" s="345">
        <f t="shared" si="153"/>
        <v>31.99215547557781</v>
      </c>
      <c r="AB344" s="346">
        <f t="shared" si="154"/>
        <v>-28.433181308732713</v>
      </c>
      <c r="AD344">
        <f t="shared" si="158"/>
        <v>0</v>
      </c>
      <c r="AE344">
        <f t="shared" si="135"/>
        <v>0</v>
      </c>
    </row>
    <row r="345" spans="1:31" x14ac:dyDescent="0.2">
      <c r="A345" s="347">
        <v>26303</v>
      </c>
      <c r="B345" s="364">
        <f t="shared" si="155"/>
        <v>26.303000000000001</v>
      </c>
      <c r="C345" s="337">
        <f t="shared" si="136"/>
        <v>1.1163233251137961</v>
      </c>
      <c r="D345" s="338">
        <f t="shared" si="137"/>
        <v>0.46057333549940016</v>
      </c>
      <c r="E345" s="338">
        <f t="shared" si="138"/>
        <v>1.0000012066901152</v>
      </c>
      <c r="F345" s="339">
        <f t="shared" si="139"/>
        <v>1.5535050059587538E-3</v>
      </c>
      <c r="G345" s="338">
        <f t="shared" si="140"/>
        <v>1</v>
      </c>
      <c r="H345" s="339">
        <f t="shared" si="141"/>
        <v>0</v>
      </c>
      <c r="I345" s="337">
        <f t="shared" si="142"/>
        <v>285585.07955831388</v>
      </c>
      <c r="J345" s="340">
        <f t="shared" si="143"/>
        <v>1.5707928252114052</v>
      </c>
      <c r="K345" s="348">
        <f t="shared" si="159"/>
        <v>4.4684391780796302</v>
      </c>
      <c r="L345" s="349">
        <f t="shared" si="160"/>
        <v>1.3450931192174023</v>
      </c>
      <c r="M345" s="337">
        <f t="shared" si="144"/>
        <v>1.0003180216195151</v>
      </c>
      <c r="N345" s="340">
        <f t="shared" si="145"/>
        <v>2.5216556502515371E-2</v>
      </c>
      <c r="O345" s="341">
        <f t="shared" si="146"/>
        <v>1.0001613143125263</v>
      </c>
      <c r="P345" s="342">
        <f t="shared" si="147"/>
        <v>3.9719444585477798E-2</v>
      </c>
      <c r="Q345" s="343">
        <f t="shared" si="148"/>
        <v>0.35162807072547253</v>
      </c>
      <c r="R345" s="344">
        <f t="shared" si="149"/>
        <v>-42.952098440763393</v>
      </c>
      <c r="S345" s="346">
        <f t="shared" si="150"/>
        <v>137.04790155923661</v>
      </c>
      <c r="U345" s="319">
        <f t="shared" si="156"/>
        <v>1000000000</v>
      </c>
      <c r="V345" s="319">
        <f t="shared" si="157"/>
        <v>691847809</v>
      </c>
      <c r="X345" s="345">
        <f t="shared" si="151"/>
        <v>1.592869279645063</v>
      </c>
      <c r="Y345" s="346">
        <f t="shared" si="152"/>
        <v>-14.376442868674674</v>
      </c>
      <c r="AA345" s="345">
        <f t="shared" si="153"/>
        <v>31.982387660012787</v>
      </c>
      <c r="AB345" s="346">
        <f t="shared" si="154"/>
        <v>-28.575655572088714</v>
      </c>
      <c r="AD345">
        <f t="shared" si="158"/>
        <v>0</v>
      </c>
      <c r="AE345">
        <f t="shared" si="135"/>
        <v>0</v>
      </c>
    </row>
    <row r="346" spans="1:31" x14ac:dyDescent="0.2">
      <c r="A346" s="347">
        <v>26456</v>
      </c>
      <c r="B346" s="364">
        <f t="shared" si="155"/>
        <v>26.456</v>
      </c>
      <c r="C346" s="337">
        <f t="shared" si="136"/>
        <v>1.1176090741751126</v>
      </c>
      <c r="D346" s="338">
        <f t="shared" si="137"/>
        <v>0.46288663054643875</v>
      </c>
      <c r="E346" s="338">
        <f t="shared" si="138"/>
        <v>1.0000012207691509</v>
      </c>
      <c r="F346" s="339">
        <f t="shared" si="139"/>
        <v>1.562541461121697E-3</v>
      </c>
      <c r="G346" s="338">
        <f t="shared" si="140"/>
        <v>1</v>
      </c>
      <c r="H346" s="339">
        <f t="shared" si="141"/>
        <v>0</v>
      </c>
      <c r="I346" s="337">
        <f t="shared" si="142"/>
        <v>287246.27855355729</v>
      </c>
      <c r="J346" s="340">
        <f t="shared" si="143"/>
        <v>1.5707928454617179</v>
      </c>
      <c r="K346" s="348">
        <f t="shared" si="159"/>
        <v>4.4931331341917904</v>
      </c>
      <c r="L346" s="349">
        <f t="shared" si="160"/>
        <v>1.3463548882303689</v>
      </c>
      <c r="M346" s="337">
        <f t="shared" si="144"/>
        <v>1.0003217315366961</v>
      </c>
      <c r="N346" s="340">
        <f t="shared" si="145"/>
        <v>2.5363174133119268E-2</v>
      </c>
      <c r="O346" s="341">
        <f t="shared" si="146"/>
        <v>1.0001631986156998</v>
      </c>
      <c r="P346" s="342">
        <f t="shared" si="147"/>
        <v>3.9950533055496007E-2</v>
      </c>
      <c r="Q346" s="343">
        <f t="shared" si="148"/>
        <v>0.33907200053965297</v>
      </c>
      <c r="R346" s="344">
        <f t="shared" si="149"/>
        <v>-43.033470819633656</v>
      </c>
      <c r="S346" s="346">
        <f t="shared" si="150"/>
        <v>136.96652918036634</v>
      </c>
      <c r="U346" s="319">
        <f t="shared" si="156"/>
        <v>1000000000</v>
      </c>
      <c r="V346" s="319">
        <f t="shared" si="157"/>
        <v>699919936</v>
      </c>
      <c r="X346" s="345">
        <f t="shared" si="151"/>
        <v>1.5903278521090647</v>
      </c>
      <c r="Y346" s="346">
        <f t="shared" si="152"/>
        <v>-14.312550561131564</v>
      </c>
      <c r="AA346" s="345">
        <f t="shared" si="153"/>
        <v>31.972373017362969</v>
      </c>
      <c r="AB346" s="346">
        <f t="shared" si="154"/>
        <v>-28.720920258502115</v>
      </c>
      <c r="AD346">
        <f t="shared" si="158"/>
        <v>0</v>
      </c>
      <c r="AE346">
        <f t="shared" ref="AE346:AE409" si="161">IF(AD346&gt;0,S346,0)</f>
        <v>0</v>
      </c>
    </row>
    <row r="347" spans="1:31" x14ac:dyDescent="0.2">
      <c r="A347" s="347">
        <v>26609</v>
      </c>
      <c r="B347" s="364">
        <f t="shared" si="155"/>
        <v>26.609000000000002</v>
      </c>
      <c r="C347" s="337">
        <f t="shared" si="136"/>
        <v>1.1189007901721344</v>
      </c>
      <c r="D347" s="338">
        <f t="shared" si="137"/>
        <v>0.46519459674948627</v>
      </c>
      <c r="E347" s="338">
        <f t="shared" si="138"/>
        <v>1.0000012349298439</v>
      </c>
      <c r="F347" s="339">
        <f t="shared" si="139"/>
        <v>1.571577916029453E-3</v>
      </c>
      <c r="G347" s="338">
        <f t="shared" si="140"/>
        <v>1</v>
      </c>
      <c r="H347" s="339">
        <f t="shared" si="141"/>
        <v>0</v>
      </c>
      <c r="I347" s="337">
        <f t="shared" si="142"/>
        <v>288907.47754880093</v>
      </c>
      <c r="J347" s="340">
        <f t="shared" si="143"/>
        <v>1.5707928654791548</v>
      </c>
      <c r="K347" s="348">
        <f t="shared" si="159"/>
        <v>4.5178341654408962</v>
      </c>
      <c r="L347" s="349">
        <f t="shared" si="160"/>
        <v>1.3476028618947897</v>
      </c>
      <c r="M347" s="337">
        <f t="shared" si="144"/>
        <v>1.0003254629573632</v>
      </c>
      <c r="N347" s="340">
        <f t="shared" si="145"/>
        <v>2.550979067304681E-2</v>
      </c>
      <c r="O347" s="341">
        <f t="shared" si="146"/>
        <v>1.0001650938982374</v>
      </c>
      <c r="P347" s="342">
        <f t="shared" si="147"/>
        <v>4.0181622348020148E-2</v>
      </c>
      <c r="Q347" s="343">
        <f t="shared" si="148"/>
        <v>0.32652256997011853</v>
      </c>
      <c r="R347" s="344">
        <f t="shared" si="149"/>
        <v>-43.115328264789504</v>
      </c>
      <c r="S347" s="346">
        <f t="shared" si="150"/>
        <v>136.8846717352105</v>
      </c>
      <c r="U347" s="319">
        <f t="shared" si="156"/>
        <v>1000000000</v>
      </c>
      <c r="V347" s="319">
        <f t="shared" si="157"/>
        <v>708038881</v>
      </c>
      <c r="X347" s="345">
        <f t="shared" si="151"/>
        <v>1.5878279835013562</v>
      </c>
      <c r="Y347" s="346">
        <f t="shared" si="152"/>
        <v>-14.249448593003974</v>
      </c>
      <c r="AA347" s="345">
        <f t="shared" si="153"/>
        <v>31.96232345540114</v>
      </c>
      <c r="AB347" s="346">
        <f t="shared" si="154"/>
        <v>-28.865879671785532</v>
      </c>
      <c r="AD347">
        <f t="shared" si="158"/>
        <v>0</v>
      </c>
      <c r="AE347">
        <f t="shared" si="161"/>
        <v>0</v>
      </c>
    </row>
    <row r="348" spans="1:31" x14ac:dyDescent="0.2">
      <c r="A348" s="347">
        <v>26762</v>
      </c>
      <c r="B348" s="364">
        <f t="shared" si="155"/>
        <v>26.762</v>
      </c>
      <c r="C348" s="337">
        <f t="shared" si="136"/>
        <v>1.1201984524631992</v>
      </c>
      <c r="D348" s="338">
        <f t="shared" si="137"/>
        <v>0.46749722799769877</v>
      </c>
      <c r="E348" s="338">
        <f t="shared" si="138"/>
        <v>1.0000012491721948</v>
      </c>
      <c r="F348" s="339">
        <f t="shared" si="139"/>
        <v>1.5806143706805465E-3</v>
      </c>
      <c r="G348" s="338">
        <f t="shared" si="140"/>
        <v>1</v>
      </c>
      <c r="H348" s="339">
        <f t="shared" si="141"/>
        <v>0</v>
      </c>
      <c r="I348" s="337">
        <f t="shared" si="142"/>
        <v>290568.67654404457</v>
      </c>
      <c r="J348" s="340">
        <f t="shared" si="143"/>
        <v>1.5707928852677098</v>
      </c>
      <c r="K348" s="348">
        <f t="shared" si="159"/>
        <v>4.5425421564093007</v>
      </c>
      <c r="L348" s="349">
        <f t="shared" si="160"/>
        <v>1.348837261400099</v>
      </c>
      <c r="M348" s="337">
        <f t="shared" si="144"/>
        <v>1.0003292158812758</v>
      </c>
      <c r="N348" s="340">
        <f t="shared" si="145"/>
        <v>2.5656406116006777E-2</v>
      </c>
      <c r="O348" s="341">
        <f t="shared" si="146"/>
        <v>1.0001670001610141</v>
      </c>
      <c r="P348" s="342">
        <f t="shared" si="147"/>
        <v>4.0412712467775523E-2</v>
      </c>
      <c r="Q348" s="343">
        <f t="shared" si="148"/>
        <v>0.31397915937776788</v>
      </c>
      <c r="R348" s="344">
        <f t="shared" si="149"/>
        <v>-43.197657753023449</v>
      </c>
      <c r="S348" s="346">
        <f t="shared" si="150"/>
        <v>136.80234224697654</v>
      </c>
      <c r="U348" s="319">
        <f t="shared" si="156"/>
        <v>1000000000</v>
      </c>
      <c r="V348" s="319">
        <f t="shared" si="157"/>
        <v>716204644</v>
      </c>
      <c r="X348" s="345">
        <f t="shared" si="151"/>
        <v>1.5853687603019475</v>
      </c>
      <c r="Y348" s="346">
        <f t="shared" si="152"/>
        <v>-14.187124290939231</v>
      </c>
      <c r="AA348" s="345">
        <f t="shared" si="153"/>
        <v>31.952239268008199</v>
      </c>
      <c r="AB348" s="346">
        <f t="shared" si="154"/>
        <v>-29.010533462084229</v>
      </c>
      <c r="AD348">
        <f t="shared" si="158"/>
        <v>0</v>
      </c>
      <c r="AE348">
        <f t="shared" si="161"/>
        <v>0</v>
      </c>
    </row>
    <row r="349" spans="1:31" x14ac:dyDescent="0.2">
      <c r="A349" s="347">
        <v>26915</v>
      </c>
      <c r="B349" s="364">
        <f t="shared" si="155"/>
        <v>26.914999999999999</v>
      </c>
      <c r="C349" s="337">
        <f t="shared" si="136"/>
        <v>1.1215020404073768</v>
      </c>
      <c r="D349" s="338">
        <f t="shared" si="137"/>
        <v>0.46979451843474052</v>
      </c>
      <c r="E349" s="338">
        <f t="shared" si="138"/>
        <v>1.0000012634962032</v>
      </c>
      <c r="F349" s="339">
        <f t="shared" si="139"/>
        <v>1.5896508250735019E-3</v>
      </c>
      <c r="G349" s="338">
        <f t="shared" si="140"/>
        <v>1</v>
      </c>
      <c r="H349" s="339">
        <f t="shared" si="141"/>
        <v>0</v>
      </c>
      <c r="I349" s="337">
        <f t="shared" si="142"/>
        <v>292229.87553928827</v>
      </c>
      <c r="J349" s="340">
        <f t="shared" si="143"/>
        <v>1.5707929048312861</v>
      </c>
      <c r="K349" s="348">
        <f t="shared" si="159"/>
        <v>4.5672569941447341</v>
      </c>
      <c r="L349" s="349">
        <f t="shared" si="160"/>
        <v>1.3500583033155318</v>
      </c>
      <c r="M349" s="337">
        <f t="shared" si="144"/>
        <v>1.0003329903081914</v>
      </c>
      <c r="N349" s="340">
        <f t="shared" si="145"/>
        <v>2.5803020455708238E-2</v>
      </c>
      <c r="O349" s="341">
        <f t="shared" si="146"/>
        <v>1.0001689174049111</v>
      </c>
      <c r="P349" s="342">
        <f t="shared" si="147"/>
        <v>4.0643803419486882E-2</v>
      </c>
      <c r="Q349" s="343">
        <f t="shared" si="148"/>
        <v>0.30144117311836016</v>
      </c>
      <c r="R349" s="344">
        <f t="shared" si="149"/>
        <v>-43.280446540423021</v>
      </c>
      <c r="S349" s="346">
        <f t="shared" si="150"/>
        <v>136.71955345957699</v>
      </c>
      <c r="U349" s="319">
        <f t="shared" si="156"/>
        <v>1000000000</v>
      </c>
      <c r="V349" s="319">
        <f t="shared" si="157"/>
        <v>724417225</v>
      </c>
      <c r="X349" s="345">
        <f t="shared" si="151"/>
        <v>1.5829492936453515</v>
      </c>
      <c r="Y349" s="346">
        <f t="shared" si="152"/>
        <v>-14.12556524629737</v>
      </c>
      <c r="AA349" s="345">
        <f t="shared" si="153"/>
        <v>31.94212074840539</v>
      </c>
      <c r="AB349" s="346">
        <f t="shared" si="154"/>
        <v>-29.154881294125673</v>
      </c>
      <c r="AD349">
        <f t="shared" si="158"/>
        <v>0</v>
      </c>
      <c r="AE349">
        <f t="shared" si="161"/>
        <v>0</v>
      </c>
    </row>
    <row r="350" spans="1:31" x14ac:dyDescent="0.2">
      <c r="A350" s="347">
        <v>27071.75</v>
      </c>
      <c r="B350" s="364">
        <f t="shared" si="155"/>
        <v>27.071750000000002</v>
      </c>
      <c r="C350" s="337">
        <f t="shared" si="136"/>
        <v>1.1228437027453761</v>
      </c>
      <c r="D350" s="338">
        <f t="shared" si="137"/>
        <v>0.47214257038394486</v>
      </c>
      <c r="E350" s="338">
        <f t="shared" si="138"/>
        <v>1.0000012782559744</v>
      </c>
      <c r="F350" s="339">
        <f t="shared" si="139"/>
        <v>1.5989087609225255E-3</v>
      </c>
      <c r="G350" s="338">
        <f t="shared" si="140"/>
        <v>1</v>
      </c>
      <c r="H350" s="339">
        <f t="shared" si="141"/>
        <v>0</v>
      </c>
      <c r="I350" s="337">
        <f t="shared" si="142"/>
        <v>293931.79019618029</v>
      </c>
      <c r="J350" s="340">
        <f t="shared" si="143"/>
        <v>1.5707929246450327</v>
      </c>
      <c r="K350" s="348">
        <f t="shared" si="159"/>
        <v>4.5925845726792138</v>
      </c>
      <c r="L350" s="349">
        <f t="shared" si="160"/>
        <v>1.3512956417345812</v>
      </c>
      <c r="M350" s="337">
        <f t="shared" si="144"/>
        <v>1.0003368795453298</v>
      </c>
      <c r="N350" s="340">
        <f t="shared" si="145"/>
        <v>2.5953227133399894E-2</v>
      </c>
      <c r="O350" s="341">
        <f t="shared" si="146"/>
        <v>1.0001708930291422</v>
      </c>
      <c r="P350" s="342">
        <f t="shared" si="147"/>
        <v>4.0880559232844602E-2</v>
      </c>
      <c r="Q350" s="343">
        <f t="shared" si="148"/>
        <v>0.28860091028218054</v>
      </c>
      <c r="R350" s="344">
        <f t="shared" si="149"/>
        <v>-43.365727750206354</v>
      </c>
      <c r="S350" s="346">
        <f t="shared" si="150"/>
        <v>136.63427224979364</v>
      </c>
      <c r="U350" s="319">
        <f t="shared" si="156"/>
        <v>1000000000</v>
      </c>
      <c r="V350" s="319">
        <f t="shared" si="157"/>
        <v>732879648.0625</v>
      </c>
      <c r="X350" s="345">
        <f t="shared" si="151"/>
        <v>1.5805108522172531</v>
      </c>
      <c r="Y350" s="346">
        <f t="shared" si="152"/>
        <v>-14.063278320915753</v>
      </c>
      <c r="AA350" s="345">
        <f t="shared" si="153"/>
        <v>31.931718926997306</v>
      </c>
      <c r="AB350" s="346">
        <f t="shared" si="154"/>
        <v>-29.302449429290597</v>
      </c>
      <c r="AD350">
        <f t="shared" si="158"/>
        <v>0</v>
      </c>
      <c r="AE350">
        <f t="shared" si="161"/>
        <v>0</v>
      </c>
    </row>
    <row r="351" spans="1:31" x14ac:dyDescent="0.2">
      <c r="A351" s="347">
        <v>27228.5</v>
      </c>
      <c r="B351" s="364">
        <f t="shared" si="155"/>
        <v>27.2285</v>
      </c>
      <c r="C351" s="337">
        <f t="shared" si="136"/>
        <v>1.1241915409151613</v>
      </c>
      <c r="D351" s="338">
        <f t="shared" si="137"/>
        <v>0.47448500487540823</v>
      </c>
      <c r="E351" s="338">
        <f t="shared" si="138"/>
        <v>1.0000012931014552</v>
      </c>
      <c r="F351" s="339">
        <f t="shared" si="139"/>
        <v>1.6081666964974663E-3</v>
      </c>
      <c r="G351" s="338">
        <f t="shared" si="140"/>
        <v>1</v>
      </c>
      <c r="H351" s="339">
        <f t="shared" si="141"/>
        <v>0</v>
      </c>
      <c r="I351" s="337">
        <f t="shared" si="142"/>
        <v>295633.70485307247</v>
      </c>
      <c r="J351" s="340">
        <f t="shared" si="143"/>
        <v>1.5707929442306505</v>
      </c>
      <c r="K351" s="348">
        <f t="shared" si="159"/>
        <v>4.6179191053557602</v>
      </c>
      <c r="L351" s="349">
        <f t="shared" si="160"/>
        <v>1.3525194055962104</v>
      </c>
      <c r="M351" s="337">
        <f t="shared" si="144"/>
        <v>1.0003407913519393</v>
      </c>
      <c r="N351" s="340">
        <f t="shared" si="145"/>
        <v>2.6103432639721865E-2</v>
      </c>
      <c r="O351" s="341">
        <f t="shared" si="146"/>
        <v>1.0001728801812677</v>
      </c>
      <c r="P351" s="342">
        <f t="shared" si="147"/>
        <v>4.1117315929478461E-2</v>
      </c>
      <c r="Q351" s="343">
        <f t="shared" si="148"/>
        <v>0.27576514897510207</v>
      </c>
      <c r="R351" s="344">
        <f t="shared" si="149"/>
        <v>-43.45146483865728</v>
      </c>
      <c r="S351" s="346">
        <f t="shared" si="150"/>
        <v>136.54853516134273</v>
      </c>
      <c r="U351" s="319">
        <f t="shared" si="156"/>
        <v>1000000000</v>
      </c>
      <c r="V351" s="319">
        <f t="shared" si="157"/>
        <v>741391212.25</v>
      </c>
      <c r="X351" s="345">
        <f t="shared" si="151"/>
        <v>1.5781123272152022</v>
      </c>
      <c r="Y351" s="346">
        <f t="shared" si="152"/>
        <v>-14.001769080198587</v>
      </c>
      <c r="AA351" s="345">
        <f t="shared" si="153"/>
        <v>31.921281690692279</v>
      </c>
      <c r="AB351" s="346">
        <f t="shared" si="154"/>
        <v>-29.449695758458706</v>
      </c>
      <c r="AD351">
        <f t="shared" si="158"/>
        <v>0</v>
      </c>
      <c r="AE351">
        <f t="shared" si="161"/>
        <v>0</v>
      </c>
    </row>
    <row r="352" spans="1:31" x14ac:dyDescent="0.2">
      <c r="A352" s="347">
        <v>27385.25</v>
      </c>
      <c r="B352" s="364">
        <f t="shared" si="155"/>
        <v>27.385249999999999</v>
      </c>
      <c r="C352" s="337">
        <f t="shared" si="136"/>
        <v>1.1255455327300996</v>
      </c>
      <c r="D352" s="338">
        <f t="shared" si="137"/>
        <v>0.47682181643017457</v>
      </c>
      <c r="E352" s="338">
        <f t="shared" si="138"/>
        <v>1.0000013080326455</v>
      </c>
      <c r="F352" s="339">
        <f t="shared" si="139"/>
        <v>1.6174246317967366E-3</v>
      </c>
      <c r="G352" s="338">
        <f t="shared" si="140"/>
        <v>1</v>
      </c>
      <c r="H352" s="339">
        <f t="shared" si="141"/>
        <v>0</v>
      </c>
      <c r="I352" s="337">
        <f t="shared" si="142"/>
        <v>297335.61950996472</v>
      </c>
      <c r="J352" s="340">
        <f t="shared" si="143"/>
        <v>1.5707929635920566</v>
      </c>
      <c r="K352" s="348">
        <f t="shared" si="159"/>
        <v>4.6432604783449154</v>
      </c>
      <c r="L352" s="349">
        <f t="shared" si="160"/>
        <v>1.3537298134609594</v>
      </c>
      <c r="M352" s="337">
        <f t="shared" si="144"/>
        <v>1.0003447257277551</v>
      </c>
      <c r="N352" s="340">
        <f t="shared" si="145"/>
        <v>2.6253636967910162E-2</v>
      </c>
      <c r="O352" s="341">
        <f t="shared" si="146"/>
        <v>1.0001748788622513</v>
      </c>
      <c r="P352" s="342">
        <f t="shared" si="147"/>
        <v>4.1354073514467411E-2</v>
      </c>
      <c r="Q352" s="343">
        <f t="shared" si="148"/>
        <v>0.26293332184886953</v>
      </c>
      <c r="R352" s="344">
        <f t="shared" si="149"/>
        <v>-43.537644969386278</v>
      </c>
      <c r="S352" s="346">
        <f t="shared" si="150"/>
        <v>136.46235503061371</v>
      </c>
      <c r="U352" s="319">
        <f t="shared" si="156"/>
        <v>1000000000</v>
      </c>
      <c r="V352" s="319">
        <f t="shared" si="157"/>
        <v>749951917.5625</v>
      </c>
      <c r="X352" s="345">
        <f t="shared" si="151"/>
        <v>1.5757528382427588</v>
      </c>
      <c r="Y352" s="346">
        <f t="shared" si="152"/>
        <v>-13.941025001386251</v>
      </c>
      <c r="AA352" s="345">
        <f t="shared" si="153"/>
        <v>31.910809352538493</v>
      </c>
      <c r="AB352" s="346">
        <f t="shared" si="154"/>
        <v>-29.596619968000034</v>
      </c>
      <c r="AD352">
        <f t="shared" si="158"/>
        <v>0</v>
      </c>
      <c r="AE352">
        <f t="shared" si="161"/>
        <v>0</v>
      </c>
    </row>
    <row r="353" spans="1:31" x14ac:dyDescent="0.2">
      <c r="A353" s="347">
        <v>27542</v>
      </c>
      <c r="B353" s="364">
        <f t="shared" si="155"/>
        <v>27.542000000000002</v>
      </c>
      <c r="C353" s="337">
        <f t="shared" si="136"/>
        <v>1.1269056560091371</v>
      </c>
      <c r="D353" s="338">
        <f t="shared" si="137"/>
        <v>0.47915299984119913</v>
      </c>
      <c r="E353" s="338">
        <f t="shared" si="138"/>
        <v>1.0000013230495453</v>
      </c>
      <c r="F353" s="339">
        <f t="shared" si="139"/>
        <v>1.6266825668187499E-3</v>
      </c>
      <c r="G353" s="338">
        <f t="shared" si="140"/>
        <v>1</v>
      </c>
      <c r="H353" s="339">
        <f t="shared" si="141"/>
        <v>0</v>
      </c>
      <c r="I353" s="337">
        <f t="shared" si="142"/>
        <v>299037.53416685702</v>
      </c>
      <c r="J353" s="340">
        <f t="shared" si="143"/>
        <v>1.5707929827330791</v>
      </c>
      <c r="K353" s="348">
        <f t="shared" si="159"/>
        <v>4.6686085802583044</v>
      </c>
      <c r="L353" s="349">
        <f t="shared" si="160"/>
        <v>1.3549270793011623</v>
      </c>
      <c r="M353" s="337">
        <f t="shared" si="144"/>
        <v>1.0003486826725105</v>
      </c>
      <c r="N353" s="340">
        <f t="shared" si="145"/>
        <v>2.6403840111201098E-2</v>
      </c>
      <c r="O353" s="341">
        <f t="shared" si="146"/>
        <v>1.0001768890730618</v>
      </c>
      <c r="P353" s="342">
        <f t="shared" si="147"/>
        <v>4.1590831992889828E-2</v>
      </c>
      <c r="Q353" s="343">
        <f t="shared" si="148"/>
        <v>0.25010488459308233</v>
      </c>
      <c r="R353" s="344">
        <f t="shared" si="149"/>
        <v>-43.624255584462823</v>
      </c>
      <c r="S353" s="346">
        <f t="shared" si="150"/>
        <v>136.37574441553718</v>
      </c>
      <c r="U353" s="319">
        <f t="shared" si="156"/>
        <v>1000000000</v>
      </c>
      <c r="V353" s="319">
        <f t="shared" si="157"/>
        <v>758561764</v>
      </c>
      <c r="X353" s="345">
        <f t="shared" si="151"/>
        <v>1.5734315287427569</v>
      </c>
      <c r="Y353" s="346">
        <f t="shared" si="152"/>
        <v>-13.88103382459887</v>
      </c>
      <c r="AA353" s="345">
        <f t="shared" si="153"/>
        <v>31.90030222478271</v>
      </c>
      <c r="AB353" s="346">
        <f t="shared" si="154"/>
        <v>-29.743221759863946</v>
      </c>
      <c r="AD353">
        <f t="shared" si="158"/>
        <v>0</v>
      </c>
      <c r="AE353">
        <f t="shared" si="161"/>
        <v>0</v>
      </c>
    </row>
    <row r="354" spans="1:31" x14ac:dyDescent="0.2">
      <c r="A354" s="347">
        <v>27702.5</v>
      </c>
      <c r="B354" s="364">
        <f t="shared" si="155"/>
        <v>27.702500000000001</v>
      </c>
      <c r="C354" s="337">
        <f t="shared" si="136"/>
        <v>1.1283046482103785</v>
      </c>
      <c r="D354" s="338">
        <f t="shared" si="137"/>
        <v>0.48153411631406129</v>
      </c>
      <c r="E354" s="338">
        <f t="shared" si="138"/>
        <v>1.0000013385145108</v>
      </c>
      <c r="F354" s="339">
        <f t="shared" si="139"/>
        <v>1.6361619832509109E-3</v>
      </c>
      <c r="G354" s="338">
        <f t="shared" si="140"/>
        <v>1</v>
      </c>
      <c r="H354" s="339">
        <f t="shared" si="141"/>
        <v>0</v>
      </c>
      <c r="I354" s="337">
        <f t="shared" si="142"/>
        <v>300780.16448539769</v>
      </c>
      <c r="J354" s="340">
        <f t="shared" si="143"/>
        <v>1.5707930021075731</v>
      </c>
      <c r="K354" s="348">
        <f t="shared" si="159"/>
        <v>4.6945699545705599</v>
      </c>
      <c r="L354" s="349">
        <f t="shared" si="160"/>
        <v>1.356139589259179</v>
      </c>
      <c r="M354" s="337">
        <f t="shared" si="144"/>
        <v>1.0003527576660249</v>
      </c>
      <c r="N354" s="340">
        <f t="shared" si="145"/>
        <v>2.6557635396305228E-2</v>
      </c>
      <c r="O354" s="341">
        <f t="shared" si="146"/>
        <v>1.000178959322934</v>
      </c>
      <c r="P354" s="342">
        <f t="shared" si="147"/>
        <v>4.1833255480796909E-2</v>
      </c>
      <c r="Q354" s="343">
        <f t="shared" si="148"/>
        <v>0.2369725142938649</v>
      </c>
      <c r="R354" s="344">
        <f t="shared" si="149"/>
        <v>-43.713371448757101</v>
      </c>
      <c r="S354" s="346">
        <f t="shared" si="150"/>
        <v>136.2866285512429</v>
      </c>
      <c r="U354" s="319">
        <f t="shared" si="156"/>
        <v>1000000000</v>
      </c>
      <c r="V354" s="319">
        <f t="shared" si="157"/>
        <v>767428506.25</v>
      </c>
      <c r="X354" s="345">
        <f t="shared" si="151"/>
        <v>1.5710933756202539</v>
      </c>
      <c r="Y354" s="346">
        <f t="shared" si="152"/>
        <v>-13.820375052139839</v>
      </c>
      <c r="AA354" s="345">
        <f t="shared" si="153"/>
        <v>31.88950800760599</v>
      </c>
      <c r="AB354" s="346">
        <f t="shared" si="154"/>
        <v>-29.892996396617267</v>
      </c>
      <c r="AD354">
        <f t="shared" si="158"/>
        <v>0</v>
      </c>
      <c r="AE354">
        <f t="shared" si="161"/>
        <v>0</v>
      </c>
    </row>
    <row r="355" spans="1:31" x14ac:dyDescent="0.2">
      <c r="A355" s="347">
        <v>27863</v>
      </c>
      <c r="B355" s="364">
        <f t="shared" si="155"/>
        <v>27.863</v>
      </c>
      <c r="C355" s="337">
        <f t="shared" si="136"/>
        <v>1.1297100217129816</v>
      </c>
      <c r="D355" s="338">
        <f t="shared" si="137"/>
        <v>0.48390932194801972</v>
      </c>
      <c r="E355" s="338">
        <f t="shared" si="138"/>
        <v>1.0000013540693355</v>
      </c>
      <c r="F355" s="339">
        <f t="shared" si="139"/>
        <v>1.6456413993890229E-3</v>
      </c>
      <c r="G355" s="338">
        <f t="shared" si="140"/>
        <v>1</v>
      </c>
      <c r="H355" s="339">
        <f t="shared" si="141"/>
        <v>0</v>
      </c>
      <c r="I355" s="337">
        <f t="shared" si="142"/>
        <v>302522.79480393836</v>
      </c>
      <c r="J355" s="340">
        <f t="shared" si="143"/>
        <v>1.5707930212588603</v>
      </c>
      <c r="K355" s="348">
        <f t="shared" si="159"/>
        <v>4.7205381548257836</v>
      </c>
      <c r="L355" s="349">
        <f t="shared" si="160"/>
        <v>1.3573387606624456</v>
      </c>
      <c r="M355" s="337">
        <f t="shared" si="144"/>
        <v>1.0003568563206799</v>
      </c>
      <c r="N355" s="340">
        <f t="shared" si="145"/>
        <v>2.6711429424789226E-2</v>
      </c>
      <c r="O355" s="341">
        <f t="shared" si="146"/>
        <v>1.0001810416629724</v>
      </c>
      <c r="P355" s="342">
        <f t="shared" si="147"/>
        <v>4.2075679916170658E-2</v>
      </c>
      <c r="Q355" s="343">
        <f t="shared" si="148"/>
        <v>0.22384261367930969</v>
      </c>
      <c r="R355" s="344">
        <f t="shared" si="149"/>
        <v>-43.802912859336139</v>
      </c>
      <c r="S355" s="346">
        <f t="shared" si="150"/>
        <v>136.19708714066385</v>
      </c>
      <c r="U355" s="319">
        <f t="shared" si="156"/>
        <v>1000000000</v>
      </c>
      <c r="V355" s="319">
        <f t="shared" si="157"/>
        <v>776346769</v>
      </c>
      <c r="X355" s="345">
        <f t="shared" si="151"/>
        <v>1.5687935063594414</v>
      </c>
      <c r="Y355" s="346">
        <f t="shared" si="152"/>
        <v>-13.760480437785816</v>
      </c>
      <c r="AA355" s="345">
        <f t="shared" si="153"/>
        <v>31.878677976252252</v>
      </c>
      <c r="AB355" s="346">
        <f t="shared" si="154"/>
        <v>-30.042432421550334</v>
      </c>
      <c r="AD355">
        <f t="shared" si="158"/>
        <v>0</v>
      </c>
      <c r="AE355">
        <f t="shared" si="161"/>
        <v>0</v>
      </c>
    </row>
    <row r="356" spans="1:31" x14ac:dyDescent="0.2">
      <c r="A356" s="347">
        <v>28023.5</v>
      </c>
      <c r="B356" s="364">
        <f t="shared" si="155"/>
        <v>28.023499999999999</v>
      </c>
      <c r="C356" s="337">
        <f t="shared" si="136"/>
        <v>1.1311217527314121</v>
      </c>
      <c r="D356" s="338">
        <f t="shared" si="137"/>
        <v>0.48627861202509864</v>
      </c>
      <c r="E356" s="338">
        <f t="shared" si="138"/>
        <v>1.00000136971402</v>
      </c>
      <c r="F356" s="339">
        <f t="shared" si="139"/>
        <v>1.6551208152313823E-3</v>
      </c>
      <c r="G356" s="338">
        <f t="shared" si="140"/>
        <v>1</v>
      </c>
      <c r="H356" s="339">
        <f t="shared" si="141"/>
        <v>0</v>
      </c>
      <c r="I356" s="337">
        <f t="shared" si="142"/>
        <v>304265.42512247921</v>
      </c>
      <c r="J356" s="340">
        <f t="shared" si="143"/>
        <v>1.5707930401907759</v>
      </c>
      <c r="K356" s="348">
        <f t="shared" si="159"/>
        <v>4.7465130689896586</v>
      </c>
      <c r="L356" s="349">
        <f t="shared" si="160"/>
        <v>1.3585248090160393</v>
      </c>
      <c r="M356" s="337">
        <f t="shared" si="144"/>
        <v>1.0003609786361842</v>
      </c>
      <c r="N356" s="340">
        <f t="shared" si="145"/>
        <v>2.6865222189393335E-2</v>
      </c>
      <c r="O356" s="341">
        <f t="shared" si="146"/>
        <v>1.0001831360942355</v>
      </c>
      <c r="P356" s="342">
        <f t="shared" si="147"/>
        <v>4.2318105304460688E-2</v>
      </c>
      <c r="Q356" s="343">
        <f t="shared" si="148"/>
        <v>0.21071466848688739</v>
      </c>
      <c r="R356" s="344">
        <f t="shared" si="149"/>
        <v>-43.892867198464586</v>
      </c>
      <c r="S356" s="346">
        <f t="shared" si="150"/>
        <v>136.10713280153541</v>
      </c>
      <c r="U356" s="319">
        <f t="shared" si="156"/>
        <v>1000000000</v>
      </c>
      <c r="V356" s="319">
        <f t="shared" si="157"/>
        <v>785316552.25</v>
      </c>
      <c r="X356" s="345">
        <f t="shared" si="151"/>
        <v>1.5665310742300511</v>
      </c>
      <c r="Y356" s="346">
        <f t="shared" si="152"/>
        <v>-13.701337633809198</v>
      </c>
      <c r="AA356" s="345">
        <f t="shared" si="153"/>
        <v>31.867812463189217</v>
      </c>
      <c r="AB356" s="346">
        <f t="shared" si="154"/>
        <v>-30.191529564655379</v>
      </c>
      <c r="AD356">
        <f t="shared" si="158"/>
        <v>0</v>
      </c>
      <c r="AE356">
        <f t="shared" si="161"/>
        <v>0</v>
      </c>
    </row>
    <row r="357" spans="1:31" x14ac:dyDescent="0.2">
      <c r="A357" s="347">
        <v>28184</v>
      </c>
      <c r="B357" s="364">
        <f t="shared" si="155"/>
        <v>28.184000000000001</v>
      </c>
      <c r="C357" s="337">
        <f t="shared" si="136"/>
        <v>1.1325398174914005</v>
      </c>
      <c r="D357" s="338">
        <f t="shared" si="137"/>
        <v>0.4886419821164491</v>
      </c>
      <c r="E357" s="338">
        <f t="shared" si="138"/>
        <v>1.0000013854485637</v>
      </c>
      <c r="F357" s="339">
        <f t="shared" si="139"/>
        <v>1.6646002307762853E-3</v>
      </c>
      <c r="G357" s="338">
        <f t="shared" si="140"/>
        <v>1</v>
      </c>
      <c r="H357" s="339">
        <f t="shared" si="141"/>
        <v>0</v>
      </c>
      <c r="I357" s="337">
        <f t="shared" si="142"/>
        <v>306008.05544102011</v>
      </c>
      <c r="J357" s="340">
        <f t="shared" si="143"/>
        <v>1.5707930589070676</v>
      </c>
      <c r="K357" s="348">
        <f t="shared" si="159"/>
        <v>4.7724945874382581</v>
      </c>
      <c r="L357" s="349">
        <f t="shared" si="160"/>
        <v>1.359697945281698</v>
      </c>
      <c r="M357" s="337">
        <f t="shared" si="144"/>
        <v>1.0003651246122456</v>
      </c>
      <c r="N357" s="340">
        <f t="shared" si="145"/>
        <v>2.7019013682858133E-2</v>
      </c>
      <c r="O357" s="341">
        <f t="shared" si="146"/>
        <v>1.0001852426177871</v>
      </c>
      <c r="P357" s="342">
        <f t="shared" si="147"/>
        <v>4.256053165111591E-2</v>
      </c>
      <c r="Q357" s="343">
        <f t="shared" si="148"/>
        <v>0.19758818648304621</v>
      </c>
      <c r="R357" s="344">
        <f t="shared" si="149"/>
        <v>-43.983222125281884</v>
      </c>
      <c r="S357" s="346">
        <f t="shared" si="150"/>
        <v>136.01677787471812</v>
      </c>
      <c r="U357" s="319">
        <f t="shared" si="156"/>
        <v>1000000000</v>
      </c>
      <c r="V357" s="319">
        <f t="shared" si="157"/>
        <v>794337856</v>
      </c>
      <c r="X357" s="345">
        <f t="shared" si="151"/>
        <v>1.5643052554899814</v>
      </c>
      <c r="Y357" s="346">
        <f t="shared" si="152"/>
        <v>-13.642934552791552</v>
      </c>
      <c r="AA357" s="345">
        <f t="shared" si="153"/>
        <v>31.856911799925449</v>
      </c>
      <c r="AB357" s="346">
        <f t="shared" si="154"/>
        <v>-30.340287572490325</v>
      </c>
      <c r="AD357">
        <f t="shared" si="158"/>
        <v>0</v>
      </c>
      <c r="AE357">
        <f t="shared" si="161"/>
        <v>0</v>
      </c>
    </row>
    <row r="358" spans="1:31" x14ac:dyDescent="0.2">
      <c r="A358" s="347">
        <v>28348</v>
      </c>
      <c r="B358" s="364">
        <f t="shared" si="155"/>
        <v>28.347999999999999</v>
      </c>
      <c r="C358" s="337">
        <f t="shared" si="136"/>
        <v>1.1339953234849864</v>
      </c>
      <c r="D358" s="338">
        <f t="shared" si="137"/>
        <v>0.49105077052744739</v>
      </c>
      <c r="E358" s="338">
        <f t="shared" si="138"/>
        <v>1.0000014016190486</v>
      </c>
      <c r="F358" s="339">
        <f t="shared" si="139"/>
        <v>1.6742863622389945E-3</v>
      </c>
      <c r="G358" s="338">
        <f t="shared" si="140"/>
        <v>1</v>
      </c>
      <c r="H358" s="339">
        <f t="shared" si="141"/>
        <v>0</v>
      </c>
      <c r="I358" s="337">
        <f t="shared" si="142"/>
        <v>307788.68704376608</v>
      </c>
      <c r="J358" s="340">
        <f t="shared" si="143"/>
        <v>1.5707930778125847</v>
      </c>
      <c r="K358" s="348">
        <f t="shared" si="159"/>
        <v>4.7990493913342558</v>
      </c>
      <c r="L358" s="349">
        <f t="shared" si="160"/>
        <v>1.3608835413086713</v>
      </c>
      <c r="M358" s="337">
        <f t="shared" si="144"/>
        <v>1.00036938543882</v>
      </c>
      <c r="N358" s="340">
        <f t="shared" si="145"/>
        <v>2.7176157564329576E-2</v>
      </c>
      <c r="O358" s="341">
        <f t="shared" si="146"/>
        <v>1.0001874075698094</v>
      </c>
      <c r="P358" s="342">
        <f t="shared" si="147"/>
        <v>4.2808245549227276E-2</v>
      </c>
      <c r="Q358" s="343">
        <f t="shared" si="148"/>
        <v>0.18417647870679055</v>
      </c>
      <c r="R358" s="344">
        <f t="shared" si="149"/>
        <v>-44.07594863735185</v>
      </c>
      <c r="S358" s="346">
        <f t="shared" si="150"/>
        <v>135.92405136264816</v>
      </c>
      <c r="U358" s="319">
        <f t="shared" si="156"/>
        <v>1000000000</v>
      </c>
      <c r="V358" s="319">
        <f t="shared" si="157"/>
        <v>803609104</v>
      </c>
      <c r="X358" s="345">
        <f t="shared" si="151"/>
        <v>1.5620678845795348</v>
      </c>
      <c r="Y358" s="346">
        <f t="shared" si="152"/>
        <v>-13.584009668562139</v>
      </c>
      <c r="AA358" s="345">
        <f t="shared" si="153"/>
        <v>31.845737463059635</v>
      </c>
      <c r="AB358" s="346">
        <f t="shared" si="154"/>
        <v>-30.491938968789732</v>
      </c>
      <c r="AD358">
        <f t="shared" si="158"/>
        <v>0</v>
      </c>
      <c r="AE358">
        <f t="shared" si="161"/>
        <v>0</v>
      </c>
    </row>
    <row r="359" spans="1:31" x14ac:dyDescent="0.2">
      <c r="A359" s="347">
        <v>28512</v>
      </c>
      <c r="B359" s="364">
        <f t="shared" si="155"/>
        <v>28.512</v>
      </c>
      <c r="C359" s="337">
        <f t="shared" si="136"/>
        <v>1.1354573923251612</v>
      </c>
      <c r="D359" s="338">
        <f t="shared" si="137"/>
        <v>0.4934533695084985</v>
      </c>
      <c r="E359" s="338">
        <f t="shared" si="138"/>
        <v>1.0000014178833545</v>
      </c>
      <c r="F359" s="339">
        <f t="shared" si="139"/>
        <v>1.6839724933875367E-3</v>
      </c>
      <c r="G359" s="338">
        <f t="shared" si="140"/>
        <v>1</v>
      </c>
      <c r="H359" s="339">
        <f t="shared" si="141"/>
        <v>0</v>
      </c>
      <c r="I359" s="337">
        <f t="shared" si="142"/>
        <v>309569.31864651223</v>
      </c>
      <c r="J359" s="340">
        <f t="shared" si="143"/>
        <v>1.5707930965006143</v>
      </c>
      <c r="K359" s="348">
        <f t="shared" si="159"/>
        <v>4.8256108667086863</v>
      </c>
      <c r="L359" s="349">
        <f t="shared" si="160"/>
        <v>1.3620560872824121</v>
      </c>
      <c r="M359" s="337">
        <f t="shared" si="144"/>
        <v>1.0003736709685049</v>
      </c>
      <c r="N359" s="340">
        <f t="shared" si="145"/>
        <v>2.7333300103295068E-2</v>
      </c>
      <c r="O359" s="341">
        <f t="shared" si="146"/>
        <v>1.0001895851495273</v>
      </c>
      <c r="P359" s="342">
        <f t="shared" si="147"/>
        <v>4.3055960459457573E-2</v>
      </c>
      <c r="Q359" s="343">
        <f t="shared" si="148"/>
        <v>0.17076532667517613</v>
      </c>
      <c r="R359" s="344">
        <f t="shared" si="149"/>
        <v>-44.169068202808489</v>
      </c>
      <c r="S359" s="346">
        <f t="shared" si="150"/>
        <v>135.83093179719151</v>
      </c>
      <c r="U359" s="319">
        <f t="shared" si="156"/>
        <v>1000000000</v>
      </c>
      <c r="V359" s="319">
        <f t="shared" si="157"/>
        <v>812934144</v>
      </c>
      <c r="X359" s="345">
        <f t="shared" si="151"/>
        <v>1.5598670727067181</v>
      </c>
      <c r="Y359" s="346">
        <f t="shared" si="152"/>
        <v>-13.525832407925169</v>
      </c>
      <c r="AA359" s="345">
        <f t="shared" si="153"/>
        <v>31.834527122900838</v>
      </c>
      <c r="AB359" s="346">
        <f t="shared" si="154"/>
        <v>-30.64323579488331</v>
      </c>
      <c r="AD359">
        <f t="shared" si="158"/>
        <v>0</v>
      </c>
      <c r="AE359">
        <f t="shared" si="161"/>
        <v>0</v>
      </c>
    </row>
    <row r="360" spans="1:31" x14ac:dyDescent="0.2">
      <c r="A360" s="347">
        <v>28676</v>
      </c>
      <c r="B360" s="364">
        <f t="shared" si="155"/>
        <v>28.675999999999998</v>
      </c>
      <c r="C360" s="337">
        <f t="shared" si="136"/>
        <v>1.1369259986927747</v>
      </c>
      <c r="D360" s="338">
        <f t="shared" si="137"/>
        <v>0.49584977525377849</v>
      </c>
      <c r="E360" s="338">
        <f t="shared" si="138"/>
        <v>1.0000014342414818</v>
      </c>
      <c r="F360" s="339">
        <f t="shared" si="139"/>
        <v>1.6936586242200942E-3</v>
      </c>
      <c r="G360" s="338">
        <f t="shared" si="140"/>
        <v>1</v>
      </c>
      <c r="H360" s="339">
        <f t="shared" si="141"/>
        <v>0</v>
      </c>
      <c r="I360" s="337">
        <f t="shared" si="142"/>
        <v>311349.95024925843</v>
      </c>
      <c r="J360" s="340">
        <f t="shared" si="143"/>
        <v>1.5707931149748877</v>
      </c>
      <c r="K360" s="348">
        <f t="shared" si="159"/>
        <v>4.8521789039998557</v>
      </c>
      <c r="L360" s="349">
        <f t="shared" si="160"/>
        <v>1.3632157943181253</v>
      </c>
      <c r="M360" s="337">
        <f t="shared" si="144"/>
        <v>1.0003779812009828</v>
      </c>
      <c r="N360" s="340">
        <f t="shared" si="145"/>
        <v>2.7490441292011031E-2</v>
      </c>
      <c r="O360" s="341">
        <f t="shared" si="146"/>
        <v>1.0001917753580951</v>
      </c>
      <c r="P360" s="342">
        <f t="shared" si="147"/>
        <v>4.3303676387617743E-2</v>
      </c>
      <c r="Q360" s="343">
        <f t="shared" si="148"/>
        <v>0.1573542716895594</v>
      </c>
      <c r="R360" s="344">
        <f t="shared" si="149"/>
        <v>-44.262568507687</v>
      </c>
      <c r="S360" s="346">
        <f t="shared" si="150"/>
        <v>135.73743149231299</v>
      </c>
      <c r="U360" s="319">
        <f t="shared" si="156"/>
        <v>1000000000</v>
      </c>
      <c r="V360" s="319">
        <f t="shared" si="157"/>
        <v>822312976</v>
      </c>
      <c r="X360" s="345">
        <f t="shared" si="151"/>
        <v>1.5577020107253172</v>
      </c>
      <c r="Y360" s="346">
        <f t="shared" si="152"/>
        <v>-13.468390674640519</v>
      </c>
      <c r="AA360" s="345">
        <f t="shared" si="153"/>
        <v>31.823281129896621</v>
      </c>
      <c r="AB360" s="346">
        <f t="shared" si="154"/>
        <v>-30.794177833046465</v>
      </c>
      <c r="AD360">
        <f t="shared" si="158"/>
        <v>0</v>
      </c>
      <c r="AE360">
        <f t="shared" si="161"/>
        <v>0</v>
      </c>
    </row>
    <row r="361" spans="1:31" x14ac:dyDescent="0.2">
      <c r="A361" s="347">
        <v>28840</v>
      </c>
      <c r="B361" s="364">
        <f t="shared" si="155"/>
        <v>28.84</v>
      </c>
      <c r="C361" s="337">
        <f t="shared" si="136"/>
        <v>1.1384011172864084</v>
      </c>
      <c r="D361" s="338">
        <f t="shared" si="137"/>
        <v>0.498239984261587</v>
      </c>
      <c r="E361" s="338">
        <f t="shared" si="138"/>
        <v>1.0000014506934305</v>
      </c>
      <c r="F361" s="339">
        <f t="shared" si="139"/>
        <v>1.7033447547348494E-3</v>
      </c>
      <c r="G361" s="338">
        <f t="shared" si="140"/>
        <v>1</v>
      </c>
      <c r="H361" s="339">
        <f t="shared" si="141"/>
        <v>0</v>
      </c>
      <c r="I361" s="337">
        <f t="shared" si="142"/>
        <v>313130.58185200469</v>
      </c>
      <c r="J361" s="340">
        <f t="shared" si="143"/>
        <v>1.5707931332390515</v>
      </c>
      <c r="K361" s="348">
        <f t="shared" si="159"/>
        <v>4.8787533960058429</v>
      </c>
      <c r="L361" s="349">
        <f t="shared" si="160"/>
        <v>1.3643628690711023</v>
      </c>
      <c r="M361" s="337">
        <f t="shared" si="144"/>
        <v>1.0003823161359342</v>
      </c>
      <c r="N361" s="340">
        <f t="shared" si="145"/>
        <v>2.7647581122734275E-2</v>
      </c>
      <c r="O361" s="341">
        <f t="shared" si="146"/>
        <v>1.0001939781966758</v>
      </c>
      <c r="P361" s="342">
        <f t="shared" si="147"/>
        <v>4.3551393339517984E-2</v>
      </c>
      <c r="Q361" s="343">
        <f t="shared" si="148"/>
        <v>0.1439428759042036</v>
      </c>
      <c r="R361" s="344">
        <f t="shared" si="149"/>
        <v>-44.356437510977031</v>
      </c>
      <c r="S361" s="346">
        <f t="shared" si="150"/>
        <v>135.64356248902297</v>
      </c>
      <c r="U361" s="319">
        <f t="shared" si="156"/>
        <v>1000000000</v>
      </c>
      <c r="V361" s="319">
        <f t="shared" si="157"/>
        <v>831745600</v>
      </c>
      <c r="X361" s="345">
        <f t="shared" si="151"/>
        <v>1.5555719114682776</v>
      </c>
      <c r="Y361" s="346">
        <f t="shared" si="152"/>
        <v>-13.411672627997469</v>
      </c>
      <c r="AA361" s="345">
        <f t="shared" si="153"/>
        <v>31.811999833368304</v>
      </c>
      <c r="AB361" s="346">
        <f t="shared" si="154"/>
        <v>-30.944764882979531</v>
      </c>
      <c r="AD361">
        <f t="shared" si="158"/>
        <v>0</v>
      </c>
      <c r="AE361">
        <f t="shared" si="161"/>
        <v>0</v>
      </c>
    </row>
    <row r="362" spans="1:31" x14ac:dyDescent="0.2">
      <c r="A362" s="347">
        <v>29008</v>
      </c>
      <c r="B362" s="364">
        <f t="shared" si="155"/>
        <v>29.007999999999999</v>
      </c>
      <c r="C362" s="337">
        <f t="shared" si="136"/>
        <v>1.1399189403696897</v>
      </c>
      <c r="D362" s="338">
        <f t="shared" si="137"/>
        <v>0.50068206241601598</v>
      </c>
      <c r="E362" s="338">
        <f t="shared" si="138"/>
        <v>1.0000014676439277</v>
      </c>
      <c r="F362" s="339">
        <f t="shared" si="139"/>
        <v>1.713267132003907E-3</v>
      </c>
      <c r="G362" s="338">
        <f t="shared" si="140"/>
        <v>1</v>
      </c>
      <c r="H362" s="339">
        <f t="shared" si="141"/>
        <v>0</v>
      </c>
      <c r="I362" s="337">
        <f t="shared" si="142"/>
        <v>314954.64349384257</v>
      </c>
      <c r="J362" s="340">
        <f t="shared" si="143"/>
        <v>1.5707931517345486</v>
      </c>
      <c r="K362" s="348">
        <f t="shared" si="159"/>
        <v>4.9059826294924429</v>
      </c>
      <c r="L362" s="349">
        <f t="shared" si="160"/>
        <v>1.3655250345110554</v>
      </c>
      <c r="M362" s="337">
        <f t="shared" si="144"/>
        <v>1.0003867824142407</v>
      </c>
      <c r="N362" s="340">
        <f t="shared" si="145"/>
        <v>2.7808552216082721E-2</v>
      </c>
      <c r="O362" s="341">
        <f t="shared" si="146"/>
        <v>1.000196247860091</v>
      </c>
      <c r="P362" s="342">
        <f t="shared" si="147"/>
        <v>4.3805153235864966E-2</v>
      </c>
      <c r="Q362" s="343">
        <f t="shared" si="148"/>
        <v>0.13020358301207896</v>
      </c>
      <c r="R362" s="344">
        <f t="shared" si="149"/>
        <v>-44.45296599248838</v>
      </c>
      <c r="S362" s="346">
        <f t="shared" si="150"/>
        <v>135.54703400751163</v>
      </c>
      <c r="U362" s="319">
        <f t="shared" si="156"/>
        <v>1000000000</v>
      </c>
      <c r="V362" s="319">
        <f t="shared" si="157"/>
        <v>841464064</v>
      </c>
      <c r="X362" s="345">
        <f t="shared" si="151"/>
        <v>1.5534253103503621</v>
      </c>
      <c r="Y362" s="346">
        <f t="shared" si="152"/>
        <v>-13.354309477113032</v>
      </c>
      <c r="AA362" s="345">
        <f t="shared" si="153"/>
        <v>31.8004071415941</v>
      </c>
      <c r="AB362" s="346">
        <f t="shared" si="154"/>
        <v>-31.098656515375364</v>
      </c>
      <c r="AD362">
        <f t="shared" si="158"/>
        <v>0</v>
      </c>
      <c r="AE362">
        <f t="shared" si="161"/>
        <v>0</v>
      </c>
    </row>
    <row r="363" spans="1:31" x14ac:dyDescent="0.2">
      <c r="A363" s="347">
        <v>29176</v>
      </c>
      <c r="B363" s="364">
        <f t="shared" si="155"/>
        <v>29.175999999999998</v>
      </c>
      <c r="C363" s="337">
        <f t="shared" si="136"/>
        <v>1.1414435435364096</v>
      </c>
      <c r="D363" s="338">
        <f t="shared" si="137"/>
        <v>0.50311763139403021</v>
      </c>
      <c r="E363" s="338">
        <f t="shared" si="138"/>
        <v>1.0000014846928789</v>
      </c>
      <c r="F363" s="339">
        <f t="shared" si="139"/>
        <v>1.7231895089356096E-3</v>
      </c>
      <c r="G363" s="338">
        <f t="shared" si="140"/>
        <v>1</v>
      </c>
      <c r="H363" s="339">
        <f t="shared" si="141"/>
        <v>0</v>
      </c>
      <c r="I363" s="337">
        <f t="shared" si="142"/>
        <v>316778.70513568039</v>
      </c>
      <c r="J363" s="340">
        <f t="shared" si="143"/>
        <v>1.5707931700170457</v>
      </c>
      <c r="K363" s="348">
        <f t="shared" si="159"/>
        <v>4.9332184159867856</v>
      </c>
      <c r="L363" s="349">
        <f t="shared" si="160"/>
        <v>1.3666743690997067</v>
      </c>
      <c r="M363" s="337">
        <f t="shared" si="144"/>
        <v>1.0003912746140307</v>
      </c>
      <c r="N363" s="340">
        <f t="shared" si="145"/>
        <v>2.7969521867939166E-2</v>
      </c>
      <c r="O363" s="341">
        <f t="shared" si="146"/>
        <v>1.0001985307796202</v>
      </c>
      <c r="P363" s="342">
        <f t="shared" si="147"/>
        <v>4.4058914218839916E-2</v>
      </c>
      <c r="Q363" s="343">
        <f t="shared" si="148"/>
        <v>0.11646306632373762</v>
      </c>
      <c r="R363" s="344">
        <f t="shared" si="149"/>
        <v>-44.549856646773812</v>
      </c>
      <c r="S363" s="346">
        <f t="shared" si="150"/>
        <v>135.4501433532262</v>
      </c>
      <c r="U363" s="319">
        <f t="shared" si="156"/>
        <v>1000000000</v>
      </c>
      <c r="V363" s="319">
        <f t="shared" si="157"/>
        <v>851238976</v>
      </c>
      <c r="X363" s="345">
        <f t="shared" si="151"/>
        <v>1.5513137937117687</v>
      </c>
      <c r="Y363" s="346">
        <f t="shared" si="152"/>
        <v>-13.297681385061191</v>
      </c>
      <c r="AA363" s="345">
        <f t="shared" si="153"/>
        <v>31.788778141544348</v>
      </c>
      <c r="AB363" s="346">
        <f t="shared" si="154"/>
        <v>-31.252175261712623</v>
      </c>
      <c r="AD363">
        <f t="shared" si="158"/>
        <v>0</v>
      </c>
      <c r="AE363">
        <f t="shared" si="161"/>
        <v>0</v>
      </c>
    </row>
    <row r="364" spans="1:31" x14ac:dyDescent="0.2">
      <c r="A364" s="347">
        <v>29344</v>
      </c>
      <c r="B364" s="364">
        <f t="shared" si="155"/>
        <v>29.344000000000001</v>
      </c>
      <c r="C364" s="337">
        <f t="shared" si="136"/>
        <v>1.1429748996549054</v>
      </c>
      <c r="D364" s="338">
        <f t="shared" si="137"/>
        <v>0.50554668840551409</v>
      </c>
      <c r="E364" s="338">
        <f t="shared" si="138"/>
        <v>1.0000015018402835</v>
      </c>
      <c r="F364" s="339">
        <f t="shared" si="139"/>
        <v>1.7331118855280034E-3</v>
      </c>
      <c r="G364" s="338">
        <f t="shared" si="140"/>
        <v>1</v>
      </c>
      <c r="H364" s="339">
        <f t="shared" si="141"/>
        <v>0</v>
      </c>
      <c r="I364" s="337">
        <f t="shared" si="142"/>
        <v>318602.76677751838</v>
      </c>
      <c r="J364" s="340">
        <f t="shared" si="143"/>
        <v>1.5707931880902013</v>
      </c>
      <c r="K364" s="348">
        <f t="shared" si="159"/>
        <v>4.9604606475495094</v>
      </c>
      <c r="L364" s="349">
        <f t="shared" si="160"/>
        <v>1.3678110811716122</v>
      </c>
      <c r="M364" s="337">
        <f t="shared" si="144"/>
        <v>1.0003957927349545</v>
      </c>
      <c r="N364" s="340">
        <f t="shared" si="145"/>
        <v>2.8130490069981234E-2</v>
      </c>
      <c r="O364" s="341">
        <f t="shared" si="146"/>
        <v>1.0002008269565337</v>
      </c>
      <c r="P364" s="342">
        <f t="shared" si="147"/>
        <v>4.4312676294686069E-2</v>
      </c>
      <c r="Q364" s="343">
        <f t="shared" si="148"/>
        <v>0.10272091856163595</v>
      </c>
      <c r="R364" s="344">
        <f t="shared" si="149"/>
        <v>-44.647097377371203</v>
      </c>
      <c r="S364" s="346">
        <f t="shared" si="150"/>
        <v>135.35290262262879</v>
      </c>
      <c r="U364" s="319">
        <f t="shared" si="156"/>
        <v>1000000000</v>
      </c>
      <c r="V364" s="319">
        <f t="shared" si="157"/>
        <v>861070336</v>
      </c>
      <c r="X364" s="345">
        <f t="shared" si="151"/>
        <v>1.5492365825669629</v>
      </c>
      <c r="Y364" s="346">
        <f t="shared" si="152"/>
        <v>-13.241776414883914</v>
      </c>
      <c r="AA364" s="345">
        <f t="shared" si="153"/>
        <v>31.777113204927051</v>
      </c>
      <c r="AB364" s="346">
        <f t="shared" si="154"/>
        <v>-31.405320962487281</v>
      </c>
      <c r="AD364">
        <f t="shared" si="158"/>
        <v>0</v>
      </c>
      <c r="AE364">
        <f t="shared" si="161"/>
        <v>0</v>
      </c>
    </row>
    <row r="365" spans="1:31" x14ac:dyDescent="0.2">
      <c r="A365" s="347">
        <v>29512</v>
      </c>
      <c r="B365" s="364">
        <f t="shared" si="155"/>
        <v>29.512</v>
      </c>
      <c r="C365" s="337">
        <f t="shared" si="136"/>
        <v>1.1445129816188682</v>
      </c>
      <c r="D365" s="338">
        <f t="shared" si="137"/>
        <v>0.50796923098263125</v>
      </c>
      <c r="E365" s="338">
        <f t="shared" si="138"/>
        <v>1.000001519086142</v>
      </c>
      <c r="F365" s="339">
        <f t="shared" si="139"/>
        <v>1.7430342617791349E-3</v>
      </c>
      <c r="G365" s="338">
        <f t="shared" si="140"/>
        <v>1</v>
      </c>
      <c r="H365" s="339">
        <f t="shared" si="141"/>
        <v>0</v>
      </c>
      <c r="I365" s="337">
        <f t="shared" si="142"/>
        <v>320426.82841935655</v>
      </c>
      <c r="J365" s="340">
        <f t="shared" si="143"/>
        <v>1.5707932059575906</v>
      </c>
      <c r="K365" s="348">
        <f t="shared" si="159"/>
        <v>4.9877092185741905</v>
      </c>
      <c r="L365" s="349">
        <f t="shared" si="160"/>
        <v>1.3689353746407809</v>
      </c>
      <c r="M365" s="337">
        <f t="shared" si="144"/>
        <v>1.0004003367766614</v>
      </c>
      <c r="N365" s="340">
        <f t="shared" si="145"/>
        <v>2.8291456813887002E-2</v>
      </c>
      <c r="O365" s="341">
        <f t="shared" si="146"/>
        <v>1.0002031363921102</v>
      </c>
      <c r="P365" s="342">
        <f t="shared" si="147"/>
        <v>4.4566439469645808E-2</v>
      </c>
      <c r="Q365" s="343">
        <f t="shared" si="148"/>
        <v>8.8976752346641916E-2</v>
      </c>
      <c r="R365" s="344">
        <f t="shared" si="149"/>
        <v>-44.74467635955763</v>
      </c>
      <c r="S365" s="346">
        <f t="shared" si="150"/>
        <v>135.25532364044238</v>
      </c>
      <c r="U365" s="319">
        <f t="shared" si="156"/>
        <v>1000000000</v>
      </c>
      <c r="V365" s="319">
        <f t="shared" si="157"/>
        <v>870958144</v>
      </c>
      <c r="X365" s="345">
        <f t="shared" si="151"/>
        <v>1.5471929191523981</v>
      </c>
      <c r="Y365" s="346">
        <f t="shared" si="152"/>
        <v>-13.186582882897124</v>
      </c>
      <c r="AA365" s="345">
        <f t="shared" si="153"/>
        <v>31.765412702126618</v>
      </c>
      <c r="AB365" s="346">
        <f t="shared" si="154"/>
        <v>-31.55809347666051</v>
      </c>
      <c r="AD365">
        <f t="shared" si="158"/>
        <v>0</v>
      </c>
      <c r="AE365">
        <f t="shared" si="161"/>
        <v>0</v>
      </c>
    </row>
    <row r="366" spans="1:31" x14ac:dyDescent="0.2">
      <c r="A366" s="347">
        <v>29684</v>
      </c>
      <c r="B366" s="364">
        <f t="shared" si="155"/>
        <v>29.684000000000001</v>
      </c>
      <c r="C366" s="337">
        <f t="shared" si="136"/>
        <v>1.1460946242658152</v>
      </c>
      <c r="D366" s="338">
        <f t="shared" si="137"/>
        <v>0.5104427019638661</v>
      </c>
      <c r="E366" s="338">
        <f t="shared" si="138"/>
        <v>1.0000015368446138</v>
      </c>
      <c r="F366" s="339">
        <f t="shared" si="139"/>
        <v>1.7531928847282776E-3</v>
      </c>
      <c r="G366" s="338">
        <f t="shared" si="140"/>
        <v>1</v>
      </c>
      <c r="H366" s="339">
        <f t="shared" si="141"/>
        <v>0</v>
      </c>
      <c r="I366" s="337">
        <f t="shared" si="142"/>
        <v>322294.3201002861</v>
      </c>
      <c r="J366" s="340">
        <f t="shared" si="143"/>
        <v>1.5707932240408682</v>
      </c>
      <c r="K366" s="348">
        <f t="shared" si="159"/>
        <v>5.015613024876493</v>
      </c>
      <c r="L366" s="349">
        <f t="shared" si="160"/>
        <v>1.3700737797665612</v>
      </c>
      <c r="M366" s="337">
        <f t="shared" si="144"/>
        <v>1.0004050158633406</v>
      </c>
      <c r="N366" s="340">
        <f t="shared" si="145"/>
        <v>2.8456254579999018E-2</v>
      </c>
      <c r="O366" s="341">
        <f t="shared" si="146"/>
        <v>1.0002055145515349</v>
      </c>
      <c r="P366" s="342">
        <f t="shared" si="147"/>
        <v>4.4826245770158403E-2</v>
      </c>
      <c r="Q366" s="343">
        <f t="shared" si="148"/>
        <v>7.4902868614969143E-2</v>
      </c>
      <c r="R366" s="344">
        <f t="shared" si="149"/>
        <v>-44.844917009418261</v>
      </c>
      <c r="S366" s="346">
        <f t="shared" si="150"/>
        <v>135.15508299058175</v>
      </c>
      <c r="U366" s="319">
        <f t="shared" si="156"/>
        <v>1000000000</v>
      </c>
      <c r="V366" s="319">
        <f t="shared" si="157"/>
        <v>881139856</v>
      </c>
      <c r="X366" s="345">
        <f t="shared" si="151"/>
        <v>1.5451345827547782</v>
      </c>
      <c r="Y366" s="346">
        <f t="shared" si="152"/>
        <v>-13.130800326317003</v>
      </c>
      <c r="AA366" s="345">
        <f t="shared" si="153"/>
        <v>31.75339715479257</v>
      </c>
      <c r="AB366" s="346">
        <f t="shared" si="154"/>
        <v>-31.71411668310126</v>
      </c>
      <c r="AD366">
        <f t="shared" si="158"/>
        <v>0</v>
      </c>
      <c r="AE366">
        <f t="shared" si="161"/>
        <v>0</v>
      </c>
    </row>
    <row r="367" spans="1:31" x14ac:dyDescent="0.2">
      <c r="A367" s="347">
        <v>29856</v>
      </c>
      <c r="B367" s="364">
        <f t="shared" si="155"/>
        <v>29.856000000000002</v>
      </c>
      <c r="C367" s="337">
        <f t="shared" si="136"/>
        <v>1.1476832594355826</v>
      </c>
      <c r="D367" s="338">
        <f t="shared" si="137"/>
        <v>0.51290934039261449</v>
      </c>
      <c r="E367" s="338">
        <f t="shared" si="138"/>
        <v>1.0000015547062835</v>
      </c>
      <c r="F367" s="339">
        <f t="shared" si="139"/>
        <v>1.7633515073155694E-3</v>
      </c>
      <c r="G367" s="338">
        <f t="shared" si="140"/>
        <v>1</v>
      </c>
      <c r="H367" s="339">
        <f t="shared" si="141"/>
        <v>0</v>
      </c>
      <c r="I367" s="337">
        <f t="shared" si="142"/>
        <v>324161.81178121583</v>
      </c>
      <c r="J367" s="340">
        <f t="shared" si="143"/>
        <v>1.5707932419157911</v>
      </c>
      <c r="K367" s="348">
        <f t="shared" si="159"/>
        <v>5.0435232593144734</v>
      </c>
      <c r="L367" s="349">
        <f t="shared" si="160"/>
        <v>1.37119958675136</v>
      </c>
      <c r="M367" s="337">
        <f t="shared" si="144"/>
        <v>1.0004097221190686</v>
      </c>
      <c r="N367" s="340">
        <f t="shared" si="145"/>
        <v>2.8621050800061006E-2</v>
      </c>
      <c r="O367" s="341">
        <f t="shared" si="146"/>
        <v>1.0002079066112384</v>
      </c>
      <c r="P367" s="342">
        <f t="shared" si="147"/>
        <v>4.5086053235985725E-2</v>
      </c>
      <c r="Q367" s="343">
        <f t="shared" si="148"/>
        <v>6.0826108299561338E-2</v>
      </c>
      <c r="R367" s="344">
        <f t="shared" si="149"/>
        <v>-44.945487969434794</v>
      </c>
      <c r="S367" s="346">
        <f t="shared" si="150"/>
        <v>135.05451203056521</v>
      </c>
      <c r="U367" s="319">
        <f t="shared" si="156"/>
        <v>1000000000</v>
      </c>
      <c r="V367" s="319">
        <f t="shared" si="157"/>
        <v>891380736</v>
      </c>
      <c r="X367" s="345">
        <f t="shared" si="151"/>
        <v>1.5431098683753997</v>
      </c>
      <c r="Y367" s="346">
        <f t="shared" si="152"/>
        <v>-13.075739489525663</v>
      </c>
      <c r="AA367" s="345">
        <f t="shared" si="153"/>
        <v>31.741345108856539</v>
      </c>
      <c r="AB367" s="346">
        <f t="shared" si="154"/>
        <v>-31.869748479909138</v>
      </c>
      <c r="AD367">
        <f t="shared" si="158"/>
        <v>0</v>
      </c>
      <c r="AE367">
        <f t="shared" si="161"/>
        <v>0</v>
      </c>
    </row>
    <row r="368" spans="1:31" x14ac:dyDescent="0.2">
      <c r="A368" s="347">
        <v>30028</v>
      </c>
      <c r="B368" s="364">
        <f t="shared" si="155"/>
        <v>30.027999999999999</v>
      </c>
      <c r="C368" s="337">
        <f t="shared" si="136"/>
        <v>1.1492788581311151</v>
      </c>
      <c r="D368" s="338">
        <f t="shared" si="137"/>
        <v>0.5153691446492854</v>
      </c>
      <c r="E368" s="338">
        <f t="shared" si="138"/>
        <v>1.0000015726711509</v>
      </c>
      <c r="F368" s="339">
        <f t="shared" si="139"/>
        <v>1.7735101295389133E-3</v>
      </c>
      <c r="G368" s="338">
        <f t="shared" si="140"/>
        <v>1</v>
      </c>
      <c r="H368" s="339">
        <f t="shared" si="141"/>
        <v>0</v>
      </c>
      <c r="I368" s="337">
        <f t="shared" si="142"/>
        <v>326029.30346214562</v>
      </c>
      <c r="J368" s="340">
        <f t="shared" si="143"/>
        <v>1.5707932595859391</v>
      </c>
      <c r="K368" s="348">
        <f t="shared" si="159"/>
        <v>5.0714398157580511</v>
      </c>
      <c r="L368" s="349">
        <f t="shared" si="160"/>
        <v>1.372313000763056</v>
      </c>
      <c r="M368" s="337">
        <f t="shared" si="144"/>
        <v>1.000414455543462</v>
      </c>
      <c r="N368" s="340">
        <f t="shared" si="145"/>
        <v>2.8785845465143841E-2</v>
      </c>
      <c r="O368" s="341">
        <f t="shared" si="146"/>
        <v>1.0002103125726158</v>
      </c>
      <c r="P368" s="342">
        <f t="shared" si="147"/>
        <v>4.5345861873823883E-2</v>
      </c>
      <c r="Q368" s="343">
        <f t="shared" si="148"/>
        <v>4.6746115985459913E-2</v>
      </c>
      <c r="R368" s="344">
        <f t="shared" si="149"/>
        <v>-45.046377391635282</v>
      </c>
      <c r="S368" s="346">
        <f t="shared" si="150"/>
        <v>134.95362260836473</v>
      </c>
      <c r="U368" s="319">
        <f t="shared" si="156"/>
        <v>1000000000</v>
      </c>
      <c r="V368" s="319">
        <f t="shared" si="157"/>
        <v>901680784</v>
      </c>
      <c r="X368" s="345">
        <f t="shared" si="151"/>
        <v>1.5411180275647098</v>
      </c>
      <c r="Y368" s="346">
        <f t="shared" si="152"/>
        <v>-13.021388616963064</v>
      </c>
      <c r="AA368" s="345">
        <f t="shared" si="153"/>
        <v>31.729256957353126</v>
      </c>
      <c r="AB368" s="346">
        <f t="shared" si="154"/>
        <v>-32.024988774672188</v>
      </c>
      <c r="AD368">
        <f t="shared" si="158"/>
        <v>0</v>
      </c>
      <c r="AE368">
        <f t="shared" si="161"/>
        <v>0</v>
      </c>
    </row>
    <row r="369" spans="1:31" x14ac:dyDescent="0.2">
      <c r="A369" s="347">
        <v>30200</v>
      </c>
      <c r="B369" s="364">
        <f t="shared" si="155"/>
        <v>30.2</v>
      </c>
      <c r="C369" s="337">
        <f t="shared" si="136"/>
        <v>1.1508813913894125</v>
      </c>
      <c r="D369" s="338">
        <f t="shared" si="137"/>
        <v>0.51782211345405604</v>
      </c>
      <c r="E369" s="338">
        <f t="shared" si="138"/>
        <v>1.0000015907392161</v>
      </c>
      <c r="F369" s="339">
        <f t="shared" si="139"/>
        <v>1.783668751396213E-3</v>
      </c>
      <c r="G369" s="338">
        <f t="shared" si="140"/>
        <v>1</v>
      </c>
      <c r="H369" s="339">
        <f t="shared" si="141"/>
        <v>0</v>
      </c>
      <c r="I369" s="337">
        <f t="shared" si="142"/>
        <v>327896.79514307552</v>
      </c>
      <c r="J369" s="340">
        <f t="shared" si="143"/>
        <v>1.5707932770548112</v>
      </c>
      <c r="K369" s="348">
        <f t="shared" si="159"/>
        <v>5.0993625903774111</v>
      </c>
      <c r="L369" s="349">
        <f t="shared" si="160"/>
        <v>1.3734142226001855</v>
      </c>
      <c r="M369" s="337">
        <f t="shared" si="144"/>
        <v>1.0004192161361349</v>
      </c>
      <c r="N369" s="340">
        <f t="shared" si="145"/>
        <v>2.895063856631892E-2</v>
      </c>
      <c r="O369" s="341">
        <f t="shared" si="146"/>
        <v>1.0002127324370711</v>
      </c>
      <c r="P369" s="342">
        <f t="shared" si="147"/>
        <v>4.5605671690367999E-2</v>
      </c>
      <c r="Q369" s="343">
        <f t="shared" si="148"/>
        <v>3.2662555154696862E-2</v>
      </c>
      <c r="R369" s="344">
        <f t="shared" si="149"/>
        <v>-45.147573697855144</v>
      </c>
      <c r="S369" s="346">
        <f t="shared" si="150"/>
        <v>134.85242630214486</v>
      </c>
      <c r="U369" s="319">
        <f t="shared" si="156"/>
        <v>1000000000</v>
      </c>
      <c r="V369" s="319">
        <f t="shared" si="157"/>
        <v>912040000</v>
      </c>
      <c r="X369" s="345">
        <f t="shared" si="151"/>
        <v>1.5391583323096905</v>
      </c>
      <c r="Y369" s="346">
        <f t="shared" si="152"/>
        <v>-12.967736203409448</v>
      </c>
      <c r="AA369" s="345">
        <f t="shared" si="153"/>
        <v>31.717133091777384</v>
      </c>
      <c r="AB369" s="346">
        <f t="shared" si="154"/>
        <v>-32.179837494445692</v>
      </c>
      <c r="AD369">
        <f t="shared" si="158"/>
        <v>0</v>
      </c>
      <c r="AE369">
        <f t="shared" si="161"/>
        <v>0</v>
      </c>
    </row>
    <row r="370" spans="1:31" x14ac:dyDescent="0.2">
      <c r="A370" s="347">
        <v>30375.75</v>
      </c>
      <c r="B370" s="364">
        <f t="shared" si="155"/>
        <v>30.37575</v>
      </c>
      <c r="C370" s="337">
        <f t="shared" si="136"/>
        <v>1.1525259964975811</v>
      </c>
      <c r="D370" s="338">
        <f t="shared" si="137"/>
        <v>0.52032150108377262</v>
      </c>
      <c r="E370" s="338">
        <f t="shared" si="138"/>
        <v>1.0000016093078044</v>
      </c>
      <c r="F370" s="339">
        <f t="shared" si="139"/>
        <v>1.7940488544544199E-3</v>
      </c>
      <c r="G370" s="338">
        <f t="shared" si="140"/>
        <v>1</v>
      </c>
      <c r="H370" s="339">
        <f t="shared" si="141"/>
        <v>0</v>
      </c>
      <c r="I370" s="337">
        <f t="shared" si="142"/>
        <v>329805.00248565368</v>
      </c>
      <c r="J370" s="340">
        <f t="shared" si="143"/>
        <v>1.5707932947001968</v>
      </c>
      <c r="K370" s="348">
        <f t="shared" si="159"/>
        <v>5.1279004637422343</v>
      </c>
      <c r="L370" s="349">
        <f t="shared" si="160"/>
        <v>1.3745270643047744</v>
      </c>
      <c r="M370" s="337">
        <f t="shared" si="144"/>
        <v>1.0004241085836298</v>
      </c>
      <c r="N370" s="340">
        <f t="shared" si="145"/>
        <v>2.9119022915625462E-2</v>
      </c>
      <c r="O370" s="341">
        <f t="shared" si="146"/>
        <v>1.000215219422729</v>
      </c>
      <c r="P370" s="342">
        <f t="shared" si="147"/>
        <v>4.5871147189620487E-2</v>
      </c>
      <c r="Q370" s="343">
        <f t="shared" si="148"/>
        <v>1.8267922800180508E-2</v>
      </c>
      <c r="R370" s="344">
        <f t="shared" si="149"/>
        <v>-45.251281540717123</v>
      </c>
      <c r="S370" s="346">
        <f t="shared" si="150"/>
        <v>134.74871845928288</v>
      </c>
      <c r="U370" s="319">
        <f t="shared" si="156"/>
        <v>1000000000</v>
      </c>
      <c r="V370" s="319">
        <f t="shared" si="157"/>
        <v>922686188.0625</v>
      </c>
      <c r="X370" s="345">
        <f t="shared" si="151"/>
        <v>1.5371883788324103</v>
      </c>
      <c r="Y370" s="346">
        <f t="shared" si="152"/>
        <v>-12.913623793965971</v>
      </c>
      <c r="AA370" s="345">
        <f t="shared" si="153"/>
        <v>31.704708412900153</v>
      </c>
      <c r="AB370" s="346">
        <f t="shared" si="154"/>
        <v>-32.337657746751141</v>
      </c>
      <c r="AD370">
        <f t="shared" si="158"/>
        <v>0</v>
      </c>
      <c r="AE370">
        <f t="shared" si="161"/>
        <v>0</v>
      </c>
    </row>
    <row r="371" spans="1:31" x14ac:dyDescent="0.2">
      <c r="A371" s="347">
        <v>30551.5</v>
      </c>
      <c r="B371" s="364">
        <f t="shared" si="155"/>
        <v>30.551500000000001</v>
      </c>
      <c r="C371" s="337">
        <f t="shared" si="136"/>
        <v>1.1541777808205158</v>
      </c>
      <c r="D371" s="338">
        <f t="shared" si="137"/>
        <v>0.52281375032269151</v>
      </c>
      <c r="E371" s="338">
        <f t="shared" si="138"/>
        <v>1.0000016279841393</v>
      </c>
      <c r="F371" s="339">
        <f t="shared" si="139"/>
        <v>1.8044289571260215E-3</v>
      </c>
      <c r="G371" s="338">
        <f t="shared" si="140"/>
        <v>1</v>
      </c>
      <c r="H371" s="339">
        <f t="shared" si="141"/>
        <v>0</v>
      </c>
      <c r="I371" s="337">
        <f t="shared" si="142"/>
        <v>331713.20982823201</v>
      </c>
      <c r="J371" s="340">
        <f t="shared" si="143"/>
        <v>1.5707933121425692</v>
      </c>
      <c r="K371" s="348">
        <f t="shared" si="159"/>
        <v>5.1564446172875842</v>
      </c>
      <c r="L371" s="349">
        <f t="shared" si="160"/>
        <v>1.3756275868067671</v>
      </c>
      <c r="M371" s="337">
        <f t="shared" si="144"/>
        <v>1.0004290293961609</v>
      </c>
      <c r="N371" s="340">
        <f t="shared" si="145"/>
        <v>2.9287405613241207E-2</v>
      </c>
      <c r="O371" s="341">
        <f t="shared" si="146"/>
        <v>1.0002177209273007</v>
      </c>
      <c r="P371" s="342">
        <f t="shared" si="147"/>
        <v>4.6136623933666063E-2</v>
      </c>
      <c r="Q371" s="343">
        <f t="shared" si="148"/>
        <v>3.8689117114587019E-3</v>
      </c>
      <c r="R371" s="344">
        <f t="shared" si="149"/>
        <v>-45.355286187306795</v>
      </c>
      <c r="S371" s="346">
        <f t="shared" si="150"/>
        <v>134.6447138126932</v>
      </c>
      <c r="U371" s="319">
        <f t="shared" si="156"/>
        <v>1000000000</v>
      </c>
      <c r="V371" s="319">
        <f t="shared" si="157"/>
        <v>933394152.25</v>
      </c>
      <c r="X371" s="345">
        <f t="shared" si="151"/>
        <v>1.5352505135557604</v>
      </c>
      <c r="Y371" s="346">
        <f t="shared" si="152"/>
        <v>-12.860217116572324</v>
      </c>
      <c r="AA371" s="345">
        <f t="shared" si="153"/>
        <v>31.692247267088078</v>
      </c>
      <c r="AB371" s="346">
        <f t="shared" si="154"/>
        <v>-32.495069070734438</v>
      </c>
      <c r="AD371">
        <f t="shared" si="158"/>
        <v>30551.5</v>
      </c>
      <c r="AE371">
        <f t="shared" si="161"/>
        <v>134.6447138126932</v>
      </c>
    </row>
    <row r="372" spans="1:31" x14ac:dyDescent="0.2">
      <c r="A372" s="347">
        <v>30727.25</v>
      </c>
      <c r="B372" s="364">
        <f t="shared" si="155"/>
        <v>30.727250000000002</v>
      </c>
      <c r="C372" s="337">
        <f t="shared" si="136"/>
        <v>1.1558367135791778</v>
      </c>
      <c r="D372" s="338">
        <f t="shared" si="137"/>
        <v>0.52529886088099897</v>
      </c>
      <c r="E372" s="338">
        <f t="shared" si="138"/>
        <v>1.0000016467682209</v>
      </c>
      <c r="F372" s="339">
        <f t="shared" si="139"/>
        <v>1.8148090594087803E-3</v>
      </c>
      <c r="G372" s="338">
        <f t="shared" si="140"/>
        <v>1</v>
      </c>
      <c r="H372" s="339">
        <f t="shared" si="141"/>
        <v>0</v>
      </c>
      <c r="I372" s="337">
        <f t="shared" si="142"/>
        <v>333621.4171708104</v>
      </c>
      <c r="J372" s="340">
        <f t="shared" si="143"/>
        <v>1.5707933293854124</v>
      </c>
      <c r="K372" s="348">
        <f t="shared" si="159"/>
        <v>5.1849949472935304</v>
      </c>
      <c r="L372" s="349">
        <f t="shared" si="160"/>
        <v>1.3767159909191615</v>
      </c>
      <c r="M372" s="337">
        <f t="shared" si="144"/>
        <v>1.0004339785733094</v>
      </c>
      <c r="N372" s="340">
        <f t="shared" si="145"/>
        <v>2.9455786649642383E-2</v>
      </c>
      <c r="O372" s="341">
        <f t="shared" si="146"/>
        <v>1.000220236952309</v>
      </c>
      <c r="P372" s="342">
        <f t="shared" si="147"/>
        <v>4.640210192964421E-2</v>
      </c>
      <c r="Q372" s="343">
        <f t="shared" si="148"/>
        <v>-1.053478032627099E-2</v>
      </c>
      <c r="R372" s="344">
        <f t="shared" si="149"/>
        <v>-45.459576115344852</v>
      </c>
      <c r="S372" s="346">
        <f t="shared" si="150"/>
        <v>134.54042388465516</v>
      </c>
      <c r="U372" s="319">
        <f t="shared" si="156"/>
        <v>30727.25</v>
      </c>
      <c r="V372" s="319">
        <f t="shared" si="157"/>
        <v>944163892.5625</v>
      </c>
      <c r="X372" s="345">
        <f t="shared" si="151"/>
        <v>1.5333440217121952</v>
      </c>
      <c r="Y372" s="346">
        <f t="shared" si="152"/>
        <v>-12.807504665145167</v>
      </c>
      <c r="AA372" s="345">
        <f t="shared" si="153"/>
        <v>31.679750066893909</v>
      </c>
      <c r="AB372" s="346">
        <f t="shared" si="154"/>
        <v>-32.652071450199685</v>
      </c>
      <c r="AD372">
        <f t="shared" si="158"/>
        <v>0</v>
      </c>
      <c r="AE372">
        <f t="shared" si="161"/>
        <v>0</v>
      </c>
    </row>
    <row r="373" spans="1:31" x14ac:dyDescent="0.2">
      <c r="A373" s="347">
        <v>30903</v>
      </c>
      <c r="B373" s="364">
        <f t="shared" si="155"/>
        <v>30.902999999999999</v>
      </c>
      <c r="C373" s="337">
        <f t="shared" si="136"/>
        <v>1.1575027640381572</v>
      </c>
      <c r="D373" s="338">
        <f t="shared" si="137"/>
        <v>0.5277768328232324</v>
      </c>
      <c r="E373" s="338">
        <f t="shared" si="138"/>
        <v>1.0000016656600492</v>
      </c>
      <c r="F373" s="339">
        <f t="shared" si="139"/>
        <v>1.8251891613004605E-3</v>
      </c>
      <c r="G373" s="338">
        <f t="shared" si="140"/>
        <v>1</v>
      </c>
      <c r="H373" s="339">
        <f t="shared" si="141"/>
        <v>0</v>
      </c>
      <c r="I373" s="337">
        <f t="shared" si="142"/>
        <v>335529.62451338884</v>
      </c>
      <c r="J373" s="340">
        <f t="shared" si="143"/>
        <v>1.57079334643213</v>
      </c>
      <c r="K373" s="348">
        <f t="shared" si="159"/>
        <v>5.2135513522899029</v>
      </c>
      <c r="L373" s="349">
        <f t="shared" si="160"/>
        <v>1.3777924731715483</v>
      </c>
      <c r="M373" s="337">
        <f t="shared" si="144"/>
        <v>1.0004389561146545</v>
      </c>
      <c r="N373" s="340">
        <f t="shared" si="145"/>
        <v>2.9624166015305774E-2</v>
      </c>
      <c r="O373" s="341">
        <f t="shared" si="146"/>
        <v>1.0002227674992867</v>
      </c>
      <c r="P373" s="342">
        <f t="shared" si="147"/>
        <v>4.6667581184693309E-2</v>
      </c>
      <c r="Q373" s="343">
        <f t="shared" si="148"/>
        <v>-2.4943437769714319E-2</v>
      </c>
      <c r="R373" s="344">
        <f t="shared" si="149"/>
        <v>-45.564140068271499</v>
      </c>
      <c r="S373" s="346">
        <f t="shared" si="150"/>
        <v>134.43585993172849</v>
      </c>
      <c r="U373" s="319">
        <f t="shared" si="156"/>
        <v>30903</v>
      </c>
      <c r="V373" s="319">
        <f t="shared" si="157"/>
        <v>954995409</v>
      </c>
      <c r="X373" s="345">
        <f t="shared" si="151"/>
        <v>1.5314682080563804</v>
      </c>
      <c r="Y373" s="346">
        <f t="shared" si="152"/>
        <v>-12.755475179017797</v>
      </c>
      <c r="AA373" s="345">
        <f t="shared" si="153"/>
        <v>31.667217223106292</v>
      </c>
      <c r="AB373" s="346">
        <f t="shared" si="154"/>
        <v>-32.808664889253713</v>
      </c>
      <c r="AD373">
        <f t="shared" si="158"/>
        <v>0</v>
      </c>
      <c r="AE373">
        <f t="shared" si="161"/>
        <v>0</v>
      </c>
    </row>
    <row r="374" spans="1:31" x14ac:dyDescent="0.2">
      <c r="A374" s="347">
        <v>31083</v>
      </c>
      <c r="B374" s="364">
        <f t="shared" si="155"/>
        <v>31.082999999999998</v>
      </c>
      <c r="C374" s="337">
        <f t="shared" si="136"/>
        <v>1.1592164489513694</v>
      </c>
      <c r="D374" s="338">
        <f t="shared" si="137"/>
        <v>0.53030732806582337</v>
      </c>
      <c r="E374" s="338">
        <f t="shared" si="138"/>
        <v>1.0000016851204079</v>
      </c>
      <c r="F374" s="339">
        <f t="shared" si="139"/>
        <v>1.8358202752057021E-3</v>
      </c>
      <c r="G374" s="338">
        <f t="shared" si="140"/>
        <v>1</v>
      </c>
      <c r="H374" s="339">
        <f t="shared" si="141"/>
        <v>0</v>
      </c>
      <c r="I374" s="337">
        <f t="shared" si="142"/>
        <v>337483.97627250204</v>
      </c>
      <c r="J374" s="340">
        <f t="shared" si="143"/>
        <v>1.5707933636912523</v>
      </c>
      <c r="K374" s="348">
        <f t="shared" si="159"/>
        <v>5.2428045038641811</v>
      </c>
      <c r="L374" s="349">
        <f t="shared" si="160"/>
        <v>1.3788828301849771</v>
      </c>
      <c r="M374" s="337">
        <f t="shared" si="144"/>
        <v>1.0004440834241919</v>
      </c>
      <c r="N374" s="340">
        <f t="shared" si="145"/>
        <v>2.9796615401943918E-2</v>
      </c>
      <c r="O374" s="341">
        <f t="shared" si="146"/>
        <v>1.000225374294728</v>
      </c>
      <c r="P374" s="342">
        <f t="shared" si="147"/>
        <v>4.6939481592047853E-2</v>
      </c>
      <c r="Q374" s="343">
        <f t="shared" si="148"/>
        <v>-3.970595269863407E-2</v>
      </c>
      <c r="R374" s="344">
        <f t="shared" si="149"/>
        <v>-45.671505149580469</v>
      </c>
      <c r="S374" s="346">
        <f t="shared" si="150"/>
        <v>134.32849485041953</v>
      </c>
      <c r="U374" s="319">
        <f t="shared" si="156"/>
        <v>31083</v>
      </c>
      <c r="V374" s="319">
        <f t="shared" si="157"/>
        <v>966152889</v>
      </c>
      <c r="X374" s="345">
        <f t="shared" si="151"/>
        <v>1.5295781266597899</v>
      </c>
      <c r="Y374" s="346">
        <f t="shared" si="152"/>
        <v>-12.702883934834597</v>
      </c>
      <c r="AA374" s="345">
        <f t="shared" si="153"/>
        <v>31.654344789573955</v>
      </c>
      <c r="AB374" s="346">
        <f t="shared" si="154"/>
        <v>-32.968621214745902</v>
      </c>
      <c r="AD374">
        <f t="shared" si="158"/>
        <v>0</v>
      </c>
      <c r="AE374">
        <f t="shared" si="161"/>
        <v>0</v>
      </c>
    </row>
    <row r="375" spans="1:31" x14ac:dyDescent="0.2">
      <c r="A375" s="347">
        <v>31263</v>
      </c>
      <c r="B375" s="364">
        <f t="shared" si="155"/>
        <v>31.263000000000002</v>
      </c>
      <c r="C375" s="337">
        <f t="shared" si="136"/>
        <v>1.1609375348563615</v>
      </c>
      <c r="D375" s="338">
        <f t="shared" si="137"/>
        <v>0.53283033652344625</v>
      </c>
      <c r="E375" s="338">
        <f t="shared" si="138"/>
        <v>1.000001704693787</v>
      </c>
      <c r="F375" s="339">
        <f t="shared" si="139"/>
        <v>1.8464513886959724E-3</v>
      </c>
      <c r="G375" s="338">
        <f t="shared" si="140"/>
        <v>1</v>
      </c>
      <c r="H375" s="339">
        <f t="shared" si="141"/>
        <v>0</v>
      </c>
      <c r="I375" s="337">
        <f t="shared" si="142"/>
        <v>339438.3280316153</v>
      </c>
      <c r="J375" s="340">
        <f t="shared" si="143"/>
        <v>1.5707933807516321</v>
      </c>
      <c r="K375" s="348">
        <f t="shared" si="159"/>
        <v>5.272063819320433</v>
      </c>
      <c r="L375" s="349">
        <f t="shared" si="160"/>
        <v>1.3799610857698479</v>
      </c>
      <c r="M375" s="337">
        <f t="shared" si="144"/>
        <v>1.0004492404854215</v>
      </c>
      <c r="N375" s="340">
        <f t="shared" si="145"/>
        <v>2.9969063015844996E-2</v>
      </c>
      <c r="O375" s="341">
        <f t="shared" si="146"/>
        <v>1.0002279963262546</v>
      </c>
      <c r="P375" s="342">
        <f t="shared" si="147"/>
        <v>4.7211383335256693E-2</v>
      </c>
      <c r="Q375" s="343">
        <f t="shared" si="148"/>
        <v>-5.4474225763975447E-2</v>
      </c>
      <c r="R375" s="344">
        <f t="shared" si="149"/>
        <v>-45.779134594096554</v>
      </c>
      <c r="S375" s="346">
        <f t="shared" si="150"/>
        <v>134.22086540590345</v>
      </c>
      <c r="U375" s="319">
        <f t="shared" si="156"/>
        <v>31263</v>
      </c>
      <c r="V375" s="319">
        <f t="shared" si="157"/>
        <v>977375169</v>
      </c>
      <c r="X375" s="345">
        <f t="shared" si="151"/>
        <v>1.5277188089813762</v>
      </c>
      <c r="Y375" s="346">
        <f t="shared" si="152"/>
        <v>-12.650985938477172</v>
      </c>
      <c r="AA375" s="345">
        <f t="shared" si="153"/>
        <v>31.641435834187032</v>
      </c>
      <c r="AB375" s="346">
        <f t="shared" si="154"/>
        <v>-33.128148655619384</v>
      </c>
      <c r="AD375">
        <f t="shared" si="158"/>
        <v>0</v>
      </c>
      <c r="AE375">
        <f t="shared" si="161"/>
        <v>0</v>
      </c>
    </row>
    <row r="376" spans="1:31" x14ac:dyDescent="0.2">
      <c r="A376" s="347">
        <v>31443</v>
      </c>
      <c r="B376" s="364">
        <f t="shared" si="155"/>
        <v>31.443000000000001</v>
      </c>
      <c r="C376" s="337">
        <f t="shared" si="136"/>
        <v>1.162665988886233</v>
      </c>
      <c r="D376" s="338">
        <f t="shared" si="137"/>
        <v>0.53534585939458212</v>
      </c>
      <c r="E376" s="338">
        <f t="shared" si="138"/>
        <v>1.0000017243801871</v>
      </c>
      <c r="F376" s="339">
        <f t="shared" si="139"/>
        <v>1.8570825017688683E-3</v>
      </c>
      <c r="G376" s="338">
        <f t="shared" si="140"/>
        <v>1</v>
      </c>
      <c r="H376" s="339">
        <f t="shared" si="141"/>
        <v>0</v>
      </c>
      <c r="I376" s="337">
        <f t="shared" si="142"/>
        <v>341392.67979072873</v>
      </c>
      <c r="J376" s="340">
        <f t="shared" si="143"/>
        <v>1.5707933976166828</v>
      </c>
      <c r="K376" s="348">
        <f t="shared" si="159"/>
        <v>5.3013291965988021</v>
      </c>
      <c r="L376" s="349">
        <f t="shared" si="160"/>
        <v>1.3810274378115681</v>
      </c>
      <c r="M376" s="337">
        <f t="shared" si="144"/>
        <v>1.0004544272978828</v>
      </c>
      <c r="N376" s="340">
        <f t="shared" si="145"/>
        <v>3.0141508846779953E-2</v>
      </c>
      <c r="O376" s="341">
        <f t="shared" si="146"/>
        <v>1.0002306335955411</v>
      </c>
      <c r="P376" s="342">
        <f t="shared" si="147"/>
        <v>4.7483286421985099E-2</v>
      </c>
      <c r="Q376" s="343">
        <f t="shared" si="148"/>
        <v>-6.9248508829939909E-2</v>
      </c>
      <c r="R376" s="344">
        <f t="shared" si="149"/>
        <v>-45.887017132537743</v>
      </c>
      <c r="S376" s="346">
        <f t="shared" si="150"/>
        <v>134.11298286746225</v>
      </c>
      <c r="U376" s="319">
        <f t="shared" si="156"/>
        <v>31443</v>
      </c>
      <c r="V376" s="319">
        <f t="shared" si="157"/>
        <v>988662249</v>
      </c>
      <c r="X376" s="345">
        <f t="shared" si="151"/>
        <v>1.5258895677257069</v>
      </c>
      <c r="Y376" s="346">
        <f t="shared" si="152"/>
        <v>-12.599769851556356</v>
      </c>
      <c r="AA376" s="345">
        <f t="shared" si="153"/>
        <v>31.628490792376734</v>
      </c>
      <c r="AB376" s="346">
        <f t="shared" si="154"/>
        <v>-33.287247280981411</v>
      </c>
      <c r="AD376">
        <f t="shared" si="158"/>
        <v>0</v>
      </c>
      <c r="AE376">
        <f t="shared" si="161"/>
        <v>0</v>
      </c>
    </row>
    <row r="377" spans="1:31" x14ac:dyDescent="0.2">
      <c r="A377" s="347">
        <v>31623</v>
      </c>
      <c r="B377" s="364">
        <f t="shared" si="155"/>
        <v>31.623000000000001</v>
      </c>
      <c r="C377" s="337">
        <f t="shared" si="136"/>
        <v>1.1644017782289466</v>
      </c>
      <c r="D377" s="338">
        <f t="shared" si="137"/>
        <v>0.5378538982495501</v>
      </c>
      <c r="E377" s="338">
        <f t="shared" si="138"/>
        <v>1.0000017441796079</v>
      </c>
      <c r="F377" s="339">
        <f t="shared" si="139"/>
        <v>1.8677136144219868E-3</v>
      </c>
      <c r="G377" s="338">
        <f t="shared" si="140"/>
        <v>1</v>
      </c>
      <c r="H377" s="339">
        <f t="shared" si="141"/>
        <v>0</v>
      </c>
      <c r="I377" s="337">
        <f t="shared" si="142"/>
        <v>343347.03154984221</v>
      </c>
      <c r="J377" s="340">
        <f t="shared" si="143"/>
        <v>1.5707934142897397</v>
      </c>
      <c r="K377" s="348">
        <f t="shared" si="159"/>
        <v>5.3306005358597828</v>
      </c>
      <c r="L377" s="349">
        <f t="shared" si="160"/>
        <v>1.382082079958681</v>
      </c>
      <c r="M377" s="337">
        <f t="shared" si="144"/>
        <v>1.0004596438611133</v>
      </c>
      <c r="N377" s="340">
        <f t="shared" si="145"/>
        <v>3.0313952884520354E-2</v>
      </c>
      <c r="O377" s="341">
        <f t="shared" si="146"/>
        <v>1.0002332861042715</v>
      </c>
      <c r="P377" s="342">
        <f t="shared" si="147"/>
        <v>4.775519085989717E-2</v>
      </c>
      <c r="Q377" s="343">
        <f t="shared" si="148"/>
        <v>-8.4029036969049259E-2</v>
      </c>
      <c r="R377" s="344">
        <f t="shared" si="149"/>
        <v>-45.995141759676812</v>
      </c>
      <c r="S377" s="346">
        <f t="shared" si="150"/>
        <v>134.00485824032319</v>
      </c>
      <c r="U377" s="319">
        <f t="shared" si="156"/>
        <v>31623</v>
      </c>
      <c r="V377" s="319">
        <f t="shared" si="157"/>
        <v>1000014129</v>
      </c>
      <c r="X377" s="345">
        <f t="shared" si="151"/>
        <v>1.52408973441629</v>
      </c>
      <c r="Y377" s="346">
        <f t="shared" si="152"/>
        <v>-12.549224578432929</v>
      </c>
      <c r="AA377" s="345">
        <f t="shared" si="153"/>
        <v>31.615510097547038</v>
      </c>
      <c r="AB377" s="346">
        <f t="shared" si="154"/>
        <v>-33.4459171812439</v>
      </c>
      <c r="AD377">
        <f t="shared" si="158"/>
        <v>0</v>
      </c>
      <c r="AE377">
        <f t="shared" si="161"/>
        <v>0</v>
      </c>
    </row>
    <row r="378" spans="1:31" x14ac:dyDescent="0.2">
      <c r="A378" s="347">
        <v>31807</v>
      </c>
      <c r="B378" s="364">
        <f t="shared" si="155"/>
        <v>31.806999999999999</v>
      </c>
      <c r="C378" s="337">
        <f t="shared" si="136"/>
        <v>1.1661836881967256</v>
      </c>
      <c r="D378" s="338">
        <f t="shared" si="137"/>
        <v>0.54040993798961789</v>
      </c>
      <c r="E378" s="338">
        <f t="shared" si="138"/>
        <v>1.0000017645358319</v>
      </c>
      <c r="F378" s="339">
        <f t="shared" si="139"/>
        <v>1.8785809735865761E-3</v>
      </c>
      <c r="G378" s="338">
        <f t="shared" si="140"/>
        <v>1</v>
      </c>
      <c r="H378" s="339">
        <f t="shared" si="141"/>
        <v>0</v>
      </c>
      <c r="I378" s="337">
        <f t="shared" si="142"/>
        <v>345344.81334804714</v>
      </c>
      <c r="J378" s="340">
        <f t="shared" si="143"/>
        <v>1.5707934311382621</v>
      </c>
      <c r="K378" s="348">
        <f t="shared" si="159"/>
        <v>5.3605284098196826</v>
      </c>
      <c r="L378" s="349">
        <f t="shared" si="160"/>
        <v>1.3831482527970567</v>
      </c>
      <c r="M378" s="337">
        <f t="shared" si="144"/>
        <v>1.0004650070972938</v>
      </c>
      <c r="N378" s="340">
        <f t="shared" si="145"/>
        <v>3.049022714792831E-2</v>
      </c>
      <c r="O378" s="341">
        <f t="shared" si="146"/>
        <v>1.0002360133105925</v>
      </c>
      <c r="P378" s="342">
        <f t="shared" si="147"/>
        <v>4.8033139023187274E-2</v>
      </c>
      <c r="Q378" s="343">
        <f t="shared" si="148"/>
        <v>-9.9144703922161306E-2</v>
      </c>
      <c r="R378" s="344">
        <f t="shared" si="149"/>
        <v>-46.105908184851216</v>
      </c>
      <c r="S378" s="346">
        <f t="shared" si="150"/>
        <v>133.89409181514878</v>
      </c>
      <c r="U378" s="319">
        <f t="shared" si="156"/>
        <v>31807</v>
      </c>
      <c r="V378" s="319">
        <f t="shared" si="157"/>
        <v>1011685249</v>
      </c>
      <c r="X378" s="345">
        <f t="shared" si="151"/>
        <v>1.5222796233022915</v>
      </c>
      <c r="Y378" s="346">
        <f t="shared" si="152"/>
        <v>-12.498238111183536</v>
      </c>
      <c r="AA378" s="345">
        <f t="shared" si="153"/>
        <v>31.602204541707927</v>
      </c>
      <c r="AB378" s="346">
        <f t="shared" si="154"/>
        <v>-33.607670073667677</v>
      </c>
      <c r="AD378">
        <f t="shared" si="158"/>
        <v>0</v>
      </c>
      <c r="AE378">
        <f t="shared" si="161"/>
        <v>0</v>
      </c>
    </row>
    <row r="379" spans="1:31" x14ac:dyDescent="0.2">
      <c r="A379" s="347">
        <v>31991</v>
      </c>
      <c r="B379" s="364">
        <f t="shared" si="155"/>
        <v>31.991</v>
      </c>
      <c r="C379" s="337">
        <f t="shared" si="136"/>
        <v>1.1679731939610978</v>
      </c>
      <c r="D379" s="338">
        <f t="shared" si="137"/>
        <v>0.54295816188221946</v>
      </c>
      <c r="E379" s="338">
        <f t="shared" si="138"/>
        <v>1.0000017850101555</v>
      </c>
      <c r="F379" s="339">
        <f t="shared" si="139"/>
        <v>1.8894483323074463E-3</v>
      </c>
      <c r="G379" s="338">
        <f t="shared" si="140"/>
        <v>1</v>
      </c>
      <c r="H379" s="339">
        <f t="shared" si="141"/>
        <v>0</v>
      </c>
      <c r="I379" s="337">
        <f t="shared" si="142"/>
        <v>347342.59514625231</v>
      </c>
      <c r="J379" s="340">
        <f t="shared" si="143"/>
        <v>1.5707934477929717</v>
      </c>
      <c r="K379" s="348">
        <f t="shared" si="159"/>
        <v>5.3904623095579947</v>
      </c>
      <c r="L379" s="349">
        <f t="shared" si="160"/>
        <v>1.3842025856452254</v>
      </c>
      <c r="M379" s="337">
        <f t="shared" si="144"/>
        <v>1.0004704014202055</v>
      </c>
      <c r="N379" s="340">
        <f t="shared" si="145"/>
        <v>3.0666499515947038E-2</v>
      </c>
      <c r="O379" s="341">
        <f t="shared" si="146"/>
        <v>1.0002387564447814</v>
      </c>
      <c r="P379" s="342">
        <f t="shared" si="147"/>
        <v>4.8311088614571875E-2</v>
      </c>
      <c r="Q379" s="343">
        <f t="shared" si="148"/>
        <v>-0.11426734232386417</v>
      </c>
      <c r="R379" s="344">
        <f t="shared" si="149"/>
        <v>-46.216905138567782</v>
      </c>
      <c r="S379" s="346">
        <f t="shared" si="150"/>
        <v>133.78309486143223</v>
      </c>
      <c r="U379" s="319">
        <f t="shared" si="156"/>
        <v>31991</v>
      </c>
      <c r="V379" s="319">
        <f t="shared" si="157"/>
        <v>1023424081</v>
      </c>
      <c r="X379" s="345">
        <f t="shared" si="151"/>
        <v>1.5204988866863043</v>
      </c>
      <c r="Y379" s="346">
        <f t="shared" si="152"/>
        <v>-12.447929905700798</v>
      </c>
      <c r="AA379" s="345">
        <f t="shared" si="153"/>
        <v>31.588862639922212</v>
      </c>
      <c r="AB379" s="346">
        <f t="shared" si="154"/>
        <v>-33.768975232867028</v>
      </c>
      <c r="AD379">
        <f t="shared" si="158"/>
        <v>0</v>
      </c>
      <c r="AE379">
        <f t="shared" si="161"/>
        <v>0</v>
      </c>
    </row>
    <row r="380" spans="1:31" x14ac:dyDescent="0.2">
      <c r="A380" s="347">
        <v>32175</v>
      </c>
      <c r="B380" s="364">
        <f t="shared" si="155"/>
        <v>32.174999999999997</v>
      </c>
      <c r="C380" s="337">
        <f t="shared" si="136"/>
        <v>1.1697702606620854</v>
      </c>
      <c r="D380" s="338">
        <f t="shared" si="137"/>
        <v>0.54549857277969926</v>
      </c>
      <c r="E380" s="338">
        <f t="shared" si="138"/>
        <v>1.0000018056025788</v>
      </c>
      <c r="F380" s="339">
        <f t="shared" si="139"/>
        <v>1.9003156905820302E-3</v>
      </c>
      <c r="G380" s="338">
        <f t="shared" si="140"/>
        <v>1</v>
      </c>
      <c r="H380" s="339">
        <f t="shared" si="141"/>
        <v>0</v>
      </c>
      <c r="I380" s="337">
        <f t="shared" si="142"/>
        <v>349340.37694445747</v>
      </c>
      <c r="J380" s="340">
        <f t="shared" si="143"/>
        <v>1.5707934642571941</v>
      </c>
      <c r="K380" s="348">
        <f t="shared" si="159"/>
        <v>5.4204021352435374</v>
      </c>
      <c r="L380" s="349">
        <f t="shared" si="160"/>
        <v>1.3852452723356208</v>
      </c>
      <c r="M380" s="337">
        <f t="shared" si="144"/>
        <v>1.0004758268293454</v>
      </c>
      <c r="N380" s="340">
        <f t="shared" si="145"/>
        <v>3.084276997765303E-2</v>
      </c>
      <c r="O380" s="341">
        <f t="shared" si="146"/>
        <v>1.0002415155086688</v>
      </c>
      <c r="P380" s="342">
        <f t="shared" si="147"/>
        <v>4.8589039642233406E-2</v>
      </c>
      <c r="Q380" s="343">
        <f t="shared" si="148"/>
        <v>-0.12939715288937609</v>
      </c>
      <c r="R380" s="344">
        <f t="shared" si="149"/>
        <v>-46.328121678507159</v>
      </c>
      <c r="S380" s="346">
        <f t="shared" si="150"/>
        <v>133.67187832149284</v>
      </c>
      <c r="U380" s="319">
        <f t="shared" si="156"/>
        <v>32175</v>
      </c>
      <c r="V380" s="319">
        <f t="shared" si="157"/>
        <v>1035230625</v>
      </c>
      <c r="X380" s="345">
        <f t="shared" si="151"/>
        <v>1.5187468676061222</v>
      </c>
      <c r="Y380" s="346">
        <f t="shared" si="152"/>
        <v>-12.39828885576898</v>
      </c>
      <c r="AA380" s="345">
        <f t="shared" si="153"/>
        <v>31.575484848436886</v>
      </c>
      <c r="AB380" s="346">
        <f t="shared" si="154"/>
        <v>-33.929832822738206</v>
      </c>
      <c r="AD380">
        <f t="shared" si="158"/>
        <v>0</v>
      </c>
      <c r="AE380">
        <f t="shared" si="161"/>
        <v>0</v>
      </c>
    </row>
    <row r="381" spans="1:31" x14ac:dyDescent="0.2">
      <c r="A381" s="347">
        <v>32359</v>
      </c>
      <c r="B381" s="364">
        <f t="shared" si="155"/>
        <v>32.359000000000002</v>
      </c>
      <c r="C381" s="337">
        <f t="shared" si="136"/>
        <v>1.1715748535067592</v>
      </c>
      <c r="D381" s="338">
        <f t="shared" si="137"/>
        <v>0.54803117392031719</v>
      </c>
      <c r="E381" s="338">
        <f t="shared" si="138"/>
        <v>1.0000018263131019</v>
      </c>
      <c r="F381" s="339">
        <f t="shared" si="139"/>
        <v>1.9111830484077612E-3</v>
      </c>
      <c r="G381" s="338">
        <f t="shared" si="140"/>
        <v>1</v>
      </c>
      <c r="H381" s="339">
        <f t="shared" si="141"/>
        <v>0</v>
      </c>
      <c r="I381" s="337">
        <f t="shared" si="142"/>
        <v>351338.15874266275</v>
      </c>
      <c r="J381" s="340">
        <f t="shared" si="143"/>
        <v>1.5707934805341786</v>
      </c>
      <c r="K381" s="348">
        <f t="shared" si="159"/>
        <v>5.4503477892191565</v>
      </c>
      <c r="L381" s="349">
        <f t="shared" si="160"/>
        <v>1.386276502543373</v>
      </c>
      <c r="M381" s="337">
        <f t="shared" si="144"/>
        <v>1.0004812833242078</v>
      </c>
      <c r="N381" s="340">
        <f t="shared" si="145"/>
        <v>3.1019038522123489E-2</v>
      </c>
      <c r="O381" s="341">
        <f t="shared" si="146"/>
        <v>1.0002442905040954</v>
      </c>
      <c r="P381" s="342">
        <f t="shared" si="147"/>
        <v>4.8866992114352963E-2</v>
      </c>
      <c r="Q381" s="343">
        <f t="shared" si="148"/>
        <v>-0.14453432063404092</v>
      </c>
      <c r="R381" s="344">
        <f t="shared" si="149"/>
        <v>-46.439547122652719</v>
      </c>
      <c r="S381" s="346">
        <f t="shared" si="150"/>
        <v>133.56045287734727</v>
      </c>
      <c r="U381" s="319">
        <f t="shared" si="156"/>
        <v>32359</v>
      </c>
      <c r="V381" s="319">
        <f t="shared" si="157"/>
        <v>1047104881</v>
      </c>
      <c r="X381" s="345">
        <f t="shared" si="151"/>
        <v>1.5170229270977109</v>
      </c>
      <c r="Y381" s="346">
        <f t="shared" si="152"/>
        <v>-12.349304093363985</v>
      </c>
      <c r="AA381" s="345">
        <f t="shared" si="153"/>
        <v>31.56207162120063</v>
      </c>
      <c r="AB381" s="346">
        <f t="shared" si="154"/>
        <v>-34.090243029288736</v>
      </c>
      <c r="AD381">
        <f t="shared" si="158"/>
        <v>0</v>
      </c>
      <c r="AE381">
        <f t="shared" si="161"/>
        <v>0</v>
      </c>
    </row>
    <row r="382" spans="1:31" x14ac:dyDescent="0.2">
      <c r="A382" s="347">
        <v>32547.5</v>
      </c>
      <c r="B382" s="364">
        <f t="shared" si="155"/>
        <v>32.547499999999999</v>
      </c>
      <c r="C382" s="337">
        <f t="shared" si="136"/>
        <v>1.1734313486034835</v>
      </c>
      <c r="D382" s="338">
        <f t="shared" si="137"/>
        <v>0.55061761887007044</v>
      </c>
      <c r="E382" s="338">
        <f t="shared" si="138"/>
        <v>1.0000018476525996</v>
      </c>
      <c r="F382" s="339">
        <f t="shared" si="139"/>
        <v>1.9223161835382667E-3</v>
      </c>
      <c r="G382" s="338">
        <f t="shared" si="140"/>
        <v>1</v>
      </c>
      <c r="H382" s="339">
        <f t="shared" si="141"/>
        <v>0</v>
      </c>
      <c r="I382" s="337">
        <f t="shared" si="142"/>
        <v>353384.79933484603</v>
      </c>
      <c r="J382" s="340">
        <f t="shared" si="143"/>
        <v>1.5707934970183983</v>
      </c>
      <c r="K382" s="348">
        <f t="shared" si="159"/>
        <v>5.4810317537054516</v>
      </c>
      <c r="L382" s="349">
        <f t="shared" si="160"/>
        <v>1.3873212669041326</v>
      </c>
      <c r="M382" s="337">
        <f t="shared" si="144"/>
        <v>1.0004869055008159</v>
      </c>
      <c r="N382" s="340">
        <f t="shared" si="145"/>
        <v>3.1199615982523108E-2</v>
      </c>
      <c r="O382" s="341">
        <f t="shared" si="146"/>
        <v>1.000247149888942</v>
      </c>
      <c r="P382" s="342">
        <f t="shared" si="147"/>
        <v>4.9151743843580314E-2</v>
      </c>
      <c r="Q382" s="343">
        <f t="shared" si="148"/>
        <v>-0.16004949767422019</v>
      </c>
      <c r="R382" s="344">
        <f t="shared" si="149"/>
        <v>-46.553903375360335</v>
      </c>
      <c r="S382" s="346">
        <f t="shared" si="150"/>
        <v>133.44609662463967</v>
      </c>
      <c r="U382" s="319">
        <f t="shared" si="156"/>
        <v>32547.5</v>
      </c>
      <c r="V382" s="319">
        <f t="shared" si="157"/>
        <v>1059339756.25</v>
      </c>
      <c r="X382" s="345">
        <f t="shared" si="151"/>
        <v>1.5152852923416567</v>
      </c>
      <c r="Y382" s="346">
        <f t="shared" si="152"/>
        <v>-12.299790775682519</v>
      </c>
      <c r="AA382" s="345">
        <f t="shared" si="153"/>
        <v>31.548294078916506</v>
      </c>
      <c r="AB382" s="346">
        <f t="shared" si="154"/>
        <v>-34.254112599677825</v>
      </c>
      <c r="AD382">
        <f t="shared" si="158"/>
        <v>0</v>
      </c>
      <c r="AE382">
        <f t="shared" si="161"/>
        <v>0</v>
      </c>
    </row>
    <row r="383" spans="1:31" x14ac:dyDescent="0.2">
      <c r="A383" s="347">
        <v>32736</v>
      </c>
      <c r="B383" s="364">
        <f t="shared" si="155"/>
        <v>32.735999999999997</v>
      </c>
      <c r="C383" s="337">
        <f t="shared" si="136"/>
        <v>1.1752956687709837</v>
      </c>
      <c r="D383" s="338">
        <f t="shared" si="137"/>
        <v>0.55319587549286642</v>
      </c>
      <c r="E383" s="338">
        <f t="shared" si="138"/>
        <v>1.0000018691160444</v>
      </c>
      <c r="F383" s="339">
        <f t="shared" si="139"/>
        <v>1.9334493181922426E-3</v>
      </c>
      <c r="G383" s="338">
        <f t="shared" si="140"/>
        <v>1</v>
      </c>
      <c r="H383" s="339">
        <f t="shared" si="141"/>
        <v>0</v>
      </c>
      <c r="I383" s="337">
        <f t="shared" si="142"/>
        <v>355431.43992702931</v>
      </c>
      <c r="J383" s="340">
        <f t="shared" si="143"/>
        <v>1.5707935133127797</v>
      </c>
      <c r="K383" s="348">
        <f t="shared" si="159"/>
        <v>5.5117216343005229</v>
      </c>
      <c r="L383" s="349">
        <f t="shared" si="160"/>
        <v>1.3883543976532513</v>
      </c>
      <c r="M383" s="337">
        <f t="shared" si="144"/>
        <v>1.0004925603011525</v>
      </c>
      <c r="N383" s="340">
        <f t="shared" si="145"/>
        <v>3.1380191407557378E-2</v>
      </c>
      <c r="O383" s="341">
        <f t="shared" si="146"/>
        <v>1.000250025998062</v>
      </c>
      <c r="P383" s="342">
        <f t="shared" si="147"/>
        <v>4.9436497106160299E-2</v>
      </c>
      <c r="Q383" s="343">
        <f t="shared" si="148"/>
        <v>-0.1755727413338814</v>
      </c>
      <c r="R383" s="344">
        <f t="shared" si="149"/>
        <v>-46.66845698872693</v>
      </c>
      <c r="S383" s="346">
        <f t="shared" si="150"/>
        <v>133.33154301127308</v>
      </c>
      <c r="U383" s="319">
        <f t="shared" si="156"/>
        <v>32736</v>
      </c>
      <c r="V383" s="319">
        <f t="shared" si="157"/>
        <v>1071645696</v>
      </c>
      <c r="X383" s="345">
        <f t="shared" si="151"/>
        <v>1.5135758241607982</v>
      </c>
      <c r="Y383" s="346">
        <f t="shared" si="152"/>
        <v>-12.250943887354532</v>
      </c>
      <c r="AA383" s="345">
        <f t="shared" si="153"/>
        <v>31.534480303437704</v>
      </c>
      <c r="AB383" s="346">
        <f t="shared" si="154"/>
        <v>-34.417513101372379</v>
      </c>
      <c r="AD383">
        <f t="shared" si="158"/>
        <v>0</v>
      </c>
      <c r="AE383">
        <f t="shared" si="161"/>
        <v>0</v>
      </c>
    </row>
    <row r="384" spans="1:31" x14ac:dyDescent="0.2">
      <c r="A384" s="347">
        <v>32924.5</v>
      </c>
      <c r="B384" s="364">
        <f t="shared" si="155"/>
        <v>32.924500000000002</v>
      </c>
      <c r="C384" s="337">
        <f t="shared" si="136"/>
        <v>1.1771677768307778</v>
      </c>
      <c r="D384" s="338">
        <f t="shared" si="137"/>
        <v>0.55576594849710204</v>
      </c>
      <c r="E384" s="338">
        <f t="shared" si="138"/>
        <v>1.000001890703436</v>
      </c>
      <c r="F384" s="339">
        <f t="shared" si="139"/>
        <v>1.9445824523669285E-3</v>
      </c>
      <c r="G384" s="338">
        <f t="shared" si="140"/>
        <v>1</v>
      </c>
      <c r="H384" s="339">
        <f t="shared" si="141"/>
        <v>0</v>
      </c>
      <c r="I384" s="337">
        <f t="shared" si="142"/>
        <v>357478.0805192127</v>
      </c>
      <c r="J384" s="340">
        <f t="shared" si="143"/>
        <v>1.5707935294205833</v>
      </c>
      <c r="K384" s="348">
        <f t="shared" si="159"/>
        <v>5.5424173327270339</v>
      </c>
      <c r="L384" s="349">
        <f t="shared" si="160"/>
        <v>1.3893760858588691</v>
      </c>
      <c r="M384" s="337">
        <f t="shared" si="144"/>
        <v>1.0004982477246656</v>
      </c>
      <c r="N384" s="340">
        <f t="shared" si="145"/>
        <v>3.156076478548471E-2</v>
      </c>
      <c r="O384" s="341">
        <f t="shared" si="146"/>
        <v>1.0002529188334688</v>
      </c>
      <c r="P384" s="342">
        <f t="shared" si="147"/>
        <v>4.9721251910884522E-2</v>
      </c>
      <c r="Q384" s="343">
        <f t="shared" si="148"/>
        <v>-0.19110420316681795</v>
      </c>
      <c r="R384" s="344">
        <f t="shared" si="149"/>
        <v>-46.783197285143657</v>
      </c>
      <c r="S384" s="346">
        <f t="shared" si="150"/>
        <v>133.21680271485633</v>
      </c>
      <c r="U384" s="319">
        <f t="shared" si="156"/>
        <v>32924.5</v>
      </c>
      <c r="V384" s="319">
        <f t="shared" si="157"/>
        <v>1084022700.25</v>
      </c>
      <c r="X384" s="345">
        <f t="shared" si="151"/>
        <v>1.5118938905557679</v>
      </c>
      <c r="Y384" s="346">
        <f t="shared" si="152"/>
        <v>-12.202752480496097</v>
      </c>
      <c r="AA384" s="345">
        <f t="shared" si="153"/>
        <v>31.520630775209796</v>
      </c>
      <c r="AB384" s="346">
        <f t="shared" si="154"/>
        <v>-34.580444804647577</v>
      </c>
      <c r="AD384">
        <f t="shared" si="158"/>
        <v>0</v>
      </c>
      <c r="AE384">
        <f t="shared" si="161"/>
        <v>0</v>
      </c>
    </row>
    <row r="385" spans="1:31" x14ac:dyDescent="0.2">
      <c r="A385" s="347">
        <v>33113</v>
      </c>
      <c r="B385" s="364">
        <f t="shared" si="155"/>
        <v>33.113</v>
      </c>
      <c r="C385" s="337">
        <f t="shared" si="136"/>
        <v>1.1790476356856987</v>
      </c>
      <c r="D385" s="338">
        <f t="shared" si="137"/>
        <v>0.55832784299377081</v>
      </c>
      <c r="E385" s="338">
        <f t="shared" si="138"/>
        <v>1.0000019124147745</v>
      </c>
      <c r="F385" s="339">
        <f t="shared" si="139"/>
        <v>1.9557155860595648E-3</v>
      </c>
      <c r="G385" s="338">
        <f t="shared" si="140"/>
        <v>1</v>
      </c>
      <c r="H385" s="339">
        <f t="shared" si="141"/>
        <v>0</v>
      </c>
      <c r="I385" s="337">
        <f t="shared" si="142"/>
        <v>359524.72111139627</v>
      </c>
      <c r="J385" s="340">
        <f t="shared" si="143"/>
        <v>1.5707935453449955</v>
      </c>
      <c r="K385" s="348">
        <f t="shared" si="159"/>
        <v>5.5731187528543948</v>
      </c>
      <c r="L385" s="349">
        <f t="shared" si="160"/>
        <v>1.3903865184756266</v>
      </c>
      <c r="M385" s="337">
        <f t="shared" si="144"/>
        <v>1.0005039677707979</v>
      </c>
      <c r="N385" s="340">
        <f t="shared" si="145"/>
        <v>3.1741336104564276E-2</v>
      </c>
      <c r="O385" s="341">
        <f t="shared" si="146"/>
        <v>1.0002558283971879</v>
      </c>
      <c r="P385" s="342">
        <f t="shared" si="147"/>
        <v>5.0006008266543035E-2</v>
      </c>
      <c r="Q385" s="343">
        <f t="shared" si="148"/>
        <v>-0.20664401998126555</v>
      </c>
      <c r="R385" s="344">
        <f t="shared" si="149"/>
        <v>-46.898113845750729</v>
      </c>
      <c r="S385" s="346">
        <f t="shared" si="150"/>
        <v>133.10188615424926</v>
      </c>
      <c r="U385" s="319">
        <f t="shared" si="156"/>
        <v>33113</v>
      </c>
      <c r="V385" s="319">
        <f t="shared" si="157"/>
        <v>1096470769</v>
      </c>
      <c r="X385" s="345">
        <f t="shared" si="151"/>
        <v>1.5102388768871102</v>
      </c>
      <c r="Y385" s="346">
        <f t="shared" si="152"/>
        <v>-12.155205842905177</v>
      </c>
      <c r="AA385" s="345">
        <f t="shared" si="153"/>
        <v>31.506745972064003</v>
      </c>
      <c r="AB385" s="346">
        <f t="shared" si="154"/>
        <v>-34.742908002845546</v>
      </c>
      <c r="AD385">
        <f t="shared" si="158"/>
        <v>0</v>
      </c>
      <c r="AE385">
        <f t="shared" si="161"/>
        <v>0</v>
      </c>
    </row>
    <row r="386" spans="1:31" x14ac:dyDescent="0.2">
      <c r="A386" s="347">
        <v>33305.75</v>
      </c>
      <c r="B386" s="364">
        <f t="shared" si="155"/>
        <v>33.305750000000003</v>
      </c>
      <c r="C386" s="337">
        <f t="shared" si="136"/>
        <v>1.1809778549579457</v>
      </c>
      <c r="D386" s="338">
        <f t="shared" si="137"/>
        <v>0.56093904759778068</v>
      </c>
      <c r="E386" s="338">
        <f t="shared" si="138"/>
        <v>1.0000019347437963</v>
      </c>
      <c r="F386" s="339">
        <f t="shared" si="139"/>
        <v>1.9670997315489607E-3</v>
      </c>
      <c r="G386" s="338">
        <f t="shared" si="140"/>
        <v>1</v>
      </c>
      <c r="H386" s="339">
        <f t="shared" si="141"/>
        <v>0</v>
      </c>
      <c r="I386" s="337">
        <f t="shared" si="142"/>
        <v>361617.50612011447</v>
      </c>
      <c r="J386" s="340">
        <f t="shared" si="143"/>
        <v>1.5707935614420498</v>
      </c>
      <c r="K386" s="348">
        <f t="shared" si="159"/>
        <v>5.6045181987629391</v>
      </c>
      <c r="L386" s="349">
        <f t="shared" si="160"/>
        <v>1.3914082842026188</v>
      </c>
      <c r="M386" s="337">
        <f t="shared" si="144"/>
        <v>1.0005098505171006</v>
      </c>
      <c r="N386" s="340">
        <f t="shared" si="145"/>
        <v>3.1925976519049132E-2</v>
      </c>
      <c r="O386" s="341">
        <f t="shared" si="146"/>
        <v>1.0002588208615808</v>
      </c>
      <c r="P386" s="342">
        <f t="shared" si="147"/>
        <v>5.0297186471273889E-2</v>
      </c>
      <c r="Q386" s="343">
        <f t="shared" si="148"/>
        <v>-0.22254297138527468</v>
      </c>
      <c r="R386" s="344">
        <f t="shared" si="149"/>
        <v>-47.015793042830488</v>
      </c>
      <c r="S386" s="346">
        <f t="shared" si="150"/>
        <v>132.9842069571695</v>
      </c>
      <c r="U386" s="319">
        <f t="shared" si="156"/>
        <v>33305.75</v>
      </c>
      <c r="V386" s="319">
        <f t="shared" si="157"/>
        <v>1109272983.0625</v>
      </c>
      <c r="X386" s="345">
        <f t="shared" si="151"/>
        <v>1.5085737630209348</v>
      </c>
      <c r="Y386" s="346">
        <f t="shared" si="152"/>
        <v>-12.107243017813413</v>
      </c>
      <c r="AA386" s="345">
        <f t="shared" si="153"/>
        <v>31.492512134526173</v>
      </c>
      <c r="AB386" s="346">
        <f t="shared" si="154"/>
        <v>-34.908550025017085</v>
      </c>
      <c r="AD386">
        <f t="shared" si="158"/>
        <v>0</v>
      </c>
      <c r="AE386">
        <f t="shared" si="161"/>
        <v>0</v>
      </c>
    </row>
    <row r="387" spans="1:31" x14ac:dyDescent="0.2">
      <c r="A387" s="347">
        <v>33498.5</v>
      </c>
      <c r="B387" s="364">
        <f t="shared" si="155"/>
        <v>33.4985</v>
      </c>
      <c r="C387" s="337">
        <f t="shared" si="136"/>
        <v>1.1829161002863682</v>
      </c>
      <c r="D387" s="338">
        <f t="shared" si="137"/>
        <v>0.56354171281728216</v>
      </c>
      <c r="E387" s="338">
        <f t="shared" si="138"/>
        <v>1.000001957202417</v>
      </c>
      <c r="F387" s="339">
        <f t="shared" si="139"/>
        <v>1.9784838765284887E-3</v>
      </c>
      <c r="G387" s="338">
        <f t="shared" si="140"/>
        <v>1</v>
      </c>
      <c r="H387" s="339">
        <f t="shared" si="141"/>
        <v>0</v>
      </c>
      <c r="I387" s="337">
        <f t="shared" si="142"/>
        <v>363710.29112883285</v>
      </c>
      <c r="J387" s="340">
        <f t="shared" si="143"/>
        <v>1.5707935773538597</v>
      </c>
      <c r="K387" s="348">
        <f t="shared" si="159"/>
        <v>5.6359234306170549</v>
      </c>
      <c r="L387" s="349">
        <f t="shared" si="160"/>
        <v>1.3924186637406426</v>
      </c>
      <c r="M387" s="337">
        <f t="shared" si="144"/>
        <v>1.0005157673724663</v>
      </c>
      <c r="N387" s="340">
        <f t="shared" si="145"/>
        <v>3.2110614755973731E-2</v>
      </c>
      <c r="O387" s="341">
        <f t="shared" si="146"/>
        <v>1.0002618308214368</v>
      </c>
      <c r="P387" s="342">
        <f t="shared" si="147"/>
        <v>5.0588366316247538E-2</v>
      </c>
      <c r="Q387" s="343">
        <f t="shared" si="148"/>
        <v>-0.23845090339097427</v>
      </c>
      <c r="R387" s="344">
        <f t="shared" si="149"/>
        <v>-47.133635308420558</v>
      </c>
      <c r="S387" s="346">
        <f t="shared" si="150"/>
        <v>132.86636469157943</v>
      </c>
      <c r="U387" s="319">
        <f t="shared" si="156"/>
        <v>33498.5</v>
      </c>
      <c r="V387" s="319">
        <f t="shared" si="157"/>
        <v>1122149502.25</v>
      </c>
      <c r="X387" s="345">
        <f t="shared" si="151"/>
        <v>1.5069355499890444</v>
      </c>
      <c r="Y387" s="346">
        <f t="shared" si="152"/>
        <v>-12.059932437916276</v>
      </c>
      <c r="AA387" s="345">
        <f t="shared" si="153"/>
        <v>31.478242415552362</v>
      </c>
      <c r="AB387" s="346">
        <f t="shared" si="154"/>
        <v>-35.073702870504299</v>
      </c>
      <c r="AD387">
        <f t="shared" si="158"/>
        <v>0</v>
      </c>
      <c r="AE387">
        <f t="shared" si="161"/>
        <v>0</v>
      </c>
    </row>
    <row r="388" spans="1:31" x14ac:dyDescent="0.2">
      <c r="A388" s="347">
        <v>33691.25</v>
      </c>
      <c r="B388" s="364">
        <f t="shared" si="155"/>
        <v>33.691249999999997</v>
      </c>
      <c r="C388" s="337">
        <f t="shared" si="136"/>
        <v>1.184862332282933</v>
      </c>
      <c r="D388" s="338">
        <f t="shared" si="137"/>
        <v>0.56613584538579953</v>
      </c>
      <c r="E388" s="338">
        <f t="shared" si="138"/>
        <v>1.0000019797906368</v>
      </c>
      <c r="F388" s="339">
        <f t="shared" si="139"/>
        <v>1.9898680209951979E-3</v>
      </c>
      <c r="G388" s="338">
        <f t="shared" si="140"/>
        <v>1</v>
      </c>
      <c r="H388" s="339">
        <f t="shared" si="141"/>
        <v>0</v>
      </c>
      <c r="I388" s="337">
        <f t="shared" si="142"/>
        <v>365803.07613755116</v>
      </c>
      <c r="J388" s="340">
        <f t="shared" si="143"/>
        <v>1.5707935930836043</v>
      </c>
      <c r="K388" s="348">
        <f t="shared" si="159"/>
        <v>5.6673343522292168</v>
      </c>
      <c r="L388" s="349">
        <f t="shared" si="160"/>
        <v>1.3934178443316105</v>
      </c>
      <c r="M388" s="337">
        <f t="shared" si="144"/>
        <v>1.0005217183362896</v>
      </c>
      <c r="N388" s="340">
        <f t="shared" si="145"/>
        <v>3.2295250802787723E-2</v>
      </c>
      <c r="O388" s="341">
        <f t="shared" si="146"/>
        <v>1.0002648582789582</v>
      </c>
      <c r="P388" s="342">
        <f t="shared" si="147"/>
        <v>5.0879547810857066E-2</v>
      </c>
      <c r="Q388" s="343">
        <f t="shared" si="148"/>
        <v>-0.25436791817423277</v>
      </c>
      <c r="R388" s="344">
        <f t="shared" si="149"/>
        <v>-47.251630300153572</v>
      </c>
      <c r="S388" s="346">
        <f t="shared" si="150"/>
        <v>132.74836969984642</v>
      </c>
      <c r="U388" s="319">
        <f t="shared" si="156"/>
        <v>33691.25</v>
      </c>
      <c r="V388" s="319">
        <f t="shared" si="157"/>
        <v>1135100326.5625</v>
      </c>
      <c r="X388" s="345">
        <f t="shared" si="151"/>
        <v>1.5053236333311202</v>
      </c>
      <c r="Y388" s="346">
        <f t="shared" si="152"/>
        <v>-12.013263374505492</v>
      </c>
      <c r="AA388" s="345">
        <f t="shared" si="153"/>
        <v>31.463937317427032</v>
      </c>
      <c r="AB388" s="346">
        <f t="shared" si="154"/>
        <v>-35.238366925648059</v>
      </c>
      <c r="AD388">
        <f t="shared" si="158"/>
        <v>0</v>
      </c>
      <c r="AE388">
        <f t="shared" si="161"/>
        <v>0</v>
      </c>
    </row>
    <row r="389" spans="1:31" x14ac:dyDescent="0.2">
      <c r="A389" s="347">
        <v>33884</v>
      </c>
      <c r="B389" s="364">
        <f t="shared" si="155"/>
        <v>33.884</v>
      </c>
      <c r="C389" s="337">
        <f t="shared" si="136"/>
        <v>1.1868165116562033</v>
      </c>
      <c r="D389" s="338">
        <f t="shared" si="137"/>
        <v>0.56872145245214289</v>
      </c>
      <c r="E389" s="338">
        <f t="shared" si="138"/>
        <v>1.0000020025084555</v>
      </c>
      <c r="F389" s="339">
        <f t="shared" si="139"/>
        <v>2.0012521649461373E-3</v>
      </c>
      <c r="G389" s="338">
        <f t="shared" si="140"/>
        <v>1</v>
      </c>
      <c r="H389" s="339">
        <f t="shared" si="141"/>
        <v>0</v>
      </c>
      <c r="I389" s="337">
        <f t="shared" si="142"/>
        <v>367895.86114626972</v>
      </c>
      <c r="J389" s="340">
        <f t="shared" si="143"/>
        <v>1.5707936086343908</v>
      </c>
      <c r="K389" s="348">
        <f t="shared" si="159"/>
        <v>5.6987508695153606</v>
      </c>
      <c r="L389" s="349">
        <f t="shared" si="160"/>
        <v>1.3944060091790387</v>
      </c>
      <c r="M389" s="337">
        <f t="shared" si="144"/>
        <v>1.0005277034079618</v>
      </c>
      <c r="N389" s="340">
        <f t="shared" si="145"/>
        <v>3.2479884646941626E-2</v>
      </c>
      <c r="O389" s="341">
        <f t="shared" si="146"/>
        <v>1.0002679032363608</v>
      </c>
      <c r="P389" s="342">
        <f t="shared" si="147"/>
        <v>5.1170730964493823E-2</v>
      </c>
      <c r="Q389" s="343">
        <f t="shared" si="148"/>
        <v>-0.27029410423252997</v>
      </c>
      <c r="R389" s="344">
        <f t="shared" si="149"/>
        <v>-47.369767930835039</v>
      </c>
      <c r="S389" s="346">
        <f t="shared" si="150"/>
        <v>132.63023206916495</v>
      </c>
      <c r="U389" s="319">
        <f t="shared" si="156"/>
        <v>33884</v>
      </c>
      <c r="V389" s="319">
        <f t="shared" si="157"/>
        <v>1148125456</v>
      </c>
      <c r="X389" s="345">
        <f t="shared" si="151"/>
        <v>1.5037374252022739</v>
      </c>
      <c r="Y389" s="346">
        <f t="shared" si="152"/>
        <v>-11.967225330251797</v>
      </c>
      <c r="AA389" s="345">
        <f t="shared" si="153"/>
        <v>31.449597339497579</v>
      </c>
      <c r="AB389" s="346">
        <f t="shared" si="154"/>
        <v>-35.402542600583274</v>
      </c>
      <c r="AD389">
        <f t="shared" si="158"/>
        <v>0</v>
      </c>
      <c r="AE389">
        <f t="shared" si="161"/>
        <v>0</v>
      </c>
    </row>
    <row r="390" spans="1:31" x14ac:dyDescent="0.2">
      <c r="A390" s="347">
        <v>34081.5</v>
      </c>
      <c r="B390" s="364">
        <f t="shared" si="155"/>
        <v>34.081499999999998</v>
      </c>
      <c r="C390" s="337">
        <f t="shared" si="136"/>
        <v>1.1888270510753693</v>
      </c>
      <c r="D390" s="338">
        <f t="shared" si="137"/>
        <v>0.57136194213235769</v>
      </c>
      <c r="E390" s="338">
        <f t="shared" si="138"/>
        <v>1.0000020259205458</v>
      </c>
      <c r="F390" s="339">
        <f t="shared" si="139"/>
        <v>2.0129168514654433E-3</v>
      </c>
      <c r="G390" s="338">
        <f t="shared" si="140"/>
        <v>1</v>
      </c>
      <c r="H390" s="339">
        <f t="shared" si="141"/>
        <v>0</v>
      </c>
      <c r="I390" s="337">
        <f t="shared" si="142"/>
        <v>370040.21932640945</v>
      </c>
      <c r="J390" s="340">
        <f t="shared" si="143"/>
        <v>1.5707936243859482</v>
      </c>
      <c r="K390" s="348">
        <f t="shared" si="159"/>
        <v>5.7309473020800183</v>
      </c>
      <c r="L390" s="349">
        <f t="shared" si="160"/>
        <v>1.3954072868603198</v>
      </c>
      <c r="M390" s="337">
        <f t="shared" si="144"/>
        <v>1.0005338713500342</v>
      </c>
      <c r="N390" s="340">
        <f t="shared" si="145"/>
        <v>3.2669066184193546E-2</v>
      </c>
      <c r="O390" s="341">
        <f t="shared" si="146"/>
        <v>1.0002710413860325</v>
      </c>
      <c r="P390" s="342">
        <f t="shared" si="147"/>
        <v>5.1469091568546461E-2</v>
      </c>
      <c r="Q390" s="343">
        <f t="shared" si="148"/>
        <v>-0.28662235622083976</v>
      </c>
      <c r="R390" s="344">
        <f t="shared" si="149"/>
        <v>-47.490954532462027</v>
      </c>
      <c r="S390" s="346">
        <f t="shared" si="150"/>
        <v>132.50904546753799</v>
      </c>
      <c r="U390" s="319">
        <f t="shared" si="156"/>
        <v>34081.5</v>
      </c>
      <c r="V390" s="319">
        <f t="shared" si="157"/>
        <v>1161548642.25</v>
      </c>
      <c r="X390" s="345">
        <f t="shared" si="151"/>
        <v>1.5021381964371703</v>
      </c>
      <c r="Y390" s="346">
        <f t="shared" si="152"/>
        <v>-11.920696551084665</v>
      </c>
      <c r="AA390" s="345">
        <f t="shared" si="153"/>
        <v>31.434868316274368</v>
      </c>
      <c r="AB390" s="346">
        <f t="shared" si="154"/>
        <v>-35.570257981377367</v>
      </c>
      <c r="AD390">
        <f t="shared" si="158"/>
        <v>0</v>
      </c>
      <c r="AE390">
        <f t="shared" si="161"/>
        <v>0</v>
      </c>
    </row>
    <row r="391" spans="1:31" x14ac:dyDescent="0.2">
      <c r="A391" s="347">
        <v>34279</v>
      </c>
      <c r="B391" s="364">
        <f t="shared" si="155"/>
        <v>34.279000000000003</v>
      </c>
      <c r="C391" s="337">
        <f t="shared" si="136"/>
        <v>1.1908458511957354</v>
      </c>
      <c r="D391" s="338">
        <f t="shared" si="137"/>
        <v>0.57399349744540584</v>
      </c>
      <c r="E391" s="338">
        <f t="shared" si="138"/>
        <v>1.0000020494687012</v>
      </c>
      <c r="F391" s="339">
        <f t="shared" si="139"/>
        <v>2.0245815374369735E-3</v>
      </c>
      <c r="G391" s="338">
        <f t="shared" si="140"/>
        <v>1</v>
      </c>
      <c r="H391" s="339">
        <f t="shared" si="141"/>
        <v>0</v>
      </c>
      <c r="I391" s="337">
        <f t="shared" si="142"/>
        <v>372184.57750654919</v>
      </c>
      <c r="J391" s="340">
        <f t="shared" si="143"/>
        <v>1.5707936399559987</v>
      </c>
      <c r="K391" s="348">
        <f t="shared" si="159"/>
        <v>5.7631494160458461</v>
      </c>
      <c r="L391" s="349">
        <f t="shared" si="160"/>
        <v>1.3963973760674036</v>
      </c>
      <c r="M391" s="337">
        <f t="shared" si="144"/>
        <v>1.0005400751004254</v>
      </c>
      <c r="N391" s="340">
        <f t="shared" si="145"/>
        <v>3.2858245382213012E-2</v>
      </c>
      <c r="O391" s="341">
        <f t="shared" si="146"/>
        <v>1.0002741979134735</v>
      </c>
      <c r="P391" s="342">
        <f t="shared" si="147"/>
        <v>5.1767453934358963E-2</v>
      </c>
      <c r="Q391" s="343">
        <f t="shared" si="148"/>
        <v>-0.3029603835582626</v>
      </c>
      <c r="R391" s="344">
        <f t="shared" si="149"/>
        <v>-47.612270241453622</v>
      </c>
      <c r="S391" s="346">
        <f t="shared" si="150"/>
        <v>132.38772975854639</v>
      </c>
      <c r="U391" s="319">
        <f t="shared" si="156"/>
        <v>34279</v>
      </c>
      <c r="V391" s="319">
        <f t="shared" si="157"/>
        <v>1175049841</v>
      </c>
      <c r="X391" s="345">
        <f t="shared" si="151"/>
        <v>1.5005647605049546</v>
      </c>
      <c r="Y391" s="346">
        <f t="shared" si="152"/>
        <v>-11.874808679841252</v>
      </c>
      <c r="AA391" s="345">
        <f t="shared" si="153"/>
        <v>31.420103724869165</v>
      </c>
      <c r="AB391" s="346">
        <f t="shared" si="154"/>
        <v>-35.737461561612385</v>
      </c>
      <c r="AD391">
        <f t="shared" si="158"/>
        <v>0</v>
      </c>
      <c r="AE391">
        <f t="shared" si="161"/>
        <v>0</v>
      </c>
    </row>
    <row r="392" spans="1:31" x14ac:dyDescent="0.2">
      <c r="A392" s="347">
        <v>34476.5</v>
      </c>
      <c r="B392" s="364">
        <f t="shared" si="155"/>
        <v>34.476500000000001</v>
      </c>
      <c r="C392" s="337">
        <f t="shared" si="136"/>
        <v>1.1928728700764426</v>
      </c>
      <c r="D392" s="338">
        <f t="shared" si="137"/>
        <v>0.57661612739749823</v>
      </c>
      <c r="E392" s="338">
        <f t="shared" si="138"/>
        <v>1.0000020731529216</v>
      </c>
      <c r="F392" s="339">
        <f t="shared" si="139"/>
        <v>2.0362462228575543E-3</v>
      </c>
      <c r="G392" s="338">
        <f t="shared" si="140"/>
        <v>1</v>
      </c>
      <c r="H392" s="339">
        <f t="shared" si="141"/>
        <v>0</v>
      </c>
      <c r="I392" s="337">
        <f t="shared" si="142"/>
        <v>374328.93568668904</v>
      </c>
      <c r="J392" s="340">
        <f t="shared" si="143"/>
        <v>1.5707936553476622</v>
      </c>
      <c r="K392" s="348">
        <f t="shared" si="159"/>
        <v>5.7953571167061053</v>
      </c>
      <c r="L392" s="349">
        <f t="shared" si="160"/>
        <v>1.3973764613826651</v>
      </c>
      <c r="M392" s="337">
        <f t="shared" si="144"/>
        <v>1.0005463146584697</v>
      </c>
      <c r="N392" s="340">
        <f t="shared" si="145"/>
        <v>3.3047422227502656E-2</v>
      </c>
      <c r="O392" s="341">
        <f t="shared" si="146"/>
        <v>1.000277372821109</v>
      </c>
      <c r="P392" s="342">
        <f t="shared" si="147"/>
        <v>5.206581807202857E-2</v>
      </c>
      <c r="Q392" s="343">
        <f t="shared" si="148"/>
        <v>-0.31930824036161543</v>
      </c>
      <c r="R392" s="344">
        <f t="shared" si="149"/>
        <v>-47.733704998020784</v>
      </c>
      <c r="S392" s="346">
        <f t="shared" si="150"/>
        <v>132.26629500197922</v>
      </c>
      <c r="U392" s="319">
        <f t="shared" si="156"/>
        <v>34476.5</v>
      </c>
      <c r="V392" s="319">
        <f t="shared" si="157"/>
        <v>1188629052.25</v>
      </c>
      <c r="X392" s="345">
        <f t="shared" si="151"/>
        <v>1.4990165358165222</v>
      </c>
      <c r="Y392" s="346">
        <f t="shared" si="152"/>
        <v>-11.829551140135859</v>
      </c>
      <c r="AA392" s="345">
        <f t="shared" si="153"/>
        <v>31.405304092754243</v>
      </c>
      <c r="AB392" s="346">
        <f t="shared" si="154"/>
        <v>-35.904153857884936</v>
      </c>
      <c r="AD392">
        <f t="shared" si="158"/>
        <v>0</v>
      </c>
      <c r="AE392">
        <f t="shared" si="161"/>
        <v>0</v>
      </c>
    </row>
    <row r="393" spans="1:31" x14ac:dyDescent="0.2">
      <c r="A393" s="347">
        <v>34674</v>
      </c>
      <c r="B393" s="364">
        <f t="shared" si="155"/>
        <v>34.673999999999999</v>
      </c>
      <c r="C393" s="337">
        <f t="shared" si="136"/>
        <v>1.1949080658910547</v>
      </c>
      <c r="D393" s="338">
        <f t="shared" si="137"/>
        <v>0.5792298414249788</v>
      </c>
      <c r="E393" s="338">
        <f t="shared" si="138"/>
        <v>1.0000020969732075</v>
      </c>
      <c r="F393" s="339">
        <f t="shared" si="139"/>
        <v>2.0479109077240105E-3</v>
      </c>
      <c r="G393" s="338">
        <f t="shared" si="140"/>
        <v>1</v>
      </c>
      <c r="H393" s="339">
        <f t="shared" si="141"/>
        <v>0</v>
      </c>
      <c r="I393" s="337">
        <f t="shared" si="142"/>
        <v>376473.29386682902</v>
      </c>
      <c r="J393" s="340">
        <f t="shared" si="143"/>
        <v>1.5707936705639864</v>
      </c>
      <c r="K393" s="348">
        <f t="shared" si="159"/>
        <v>5.8275703114314981</v>
      </c>
      <c r="L393" s="349">
        <f t="shared" si="160"/>
        <v>1.398344723392652</v>
      </c>
      <c r="M393" s="337">
        <f t="shared" si="144"/>
        <v>1.0005525900234964</v>
      </c>
      <c r="N393" s="340">
        <f t="shared" si="145"/>
        <v>3.323659670656616E-2</v>
      </c>
      <c r="O393" s="341">
        <f t="shared" si="146"/>
        <v>1.0002805661113776</v>
      </c>
      <c r="P393" s="342">
        <f t="shared" si="147"/>
        <v>5.2364183991650541E-2</v>
      </c>
      <c r="Q393" s="343">
        <f t="shared" si="148"/>
        <v>-0.33566596802920201</v>
      </c>
      <c r="R393" s="344">
        <f t="shared" si="149"/>
        <v>-47.855248995959101</v>
      </c>
      <c r="S393" s="346">
        <f t="shared" si="150"/>
        <v>132.1447510040409</v>
      </c>
      <c r="U393" s="319">
        <f t="shared" si="156"/>
        <v>34674</v>
      </c>
      <c r="V393" s="319">
        <f t="shared" si="157"/>
        <v>1202286276</v>
      </c>
      <c r="X393" s="345">
        <f t="shared" si="151"/>
        <v>1.4974929568123705</v>
      </c>
      <c r="Y393" s="346">
        <f t="shared" si="152"/>
        <v>-11.784913584522839</v>
      </c>
      <c r="AA393" s="345">
        <f t="shared" si="153"/>
        <v>31.39046994409081</v>
      </c>
      <c r="AB393" s="346">
        <f t="shared" si="154"/>
        <v>-36.070335411436275</v>
      </c>
      <c r="AD393">
        <f t="shared" si="158"/>
        <v>0</v>
      </c>
      <c r="AE393">
        <f t="shared" si="161"/>
        <v>0</v>
      </c>
    </row>
    <row r="394" spans="1:31" x14ac:dyDescent="0.2">
      <c r="A394" s="347">
        <v>34875.75</v>
      </c>
      <c r="B394" s="364">
        <f t="shared" si="155"/>
        <v>34.875749999999996</v>
      </c>
      <c r="C394" s="337">
        <f t="shared" si="136"/>
        <v>1.1969954564504146</v>
      </c>
      <c r="D394" s="338">
        <f t="shared" si="137"/>
        <v>0.58189060440554119</v>
      </c>
      <c r="E394" s="338">
        <f t="shared" si="138"/>
        <v>1.0000021214465702</v>
      </c>
      <c r="F394" s="339">
        <f t="shared" si="139"/>
        <v>2.0598266042210151E-3</v>
      </c>
      <c r="G394" s="338">
        <f t="shared" si="140"/>
        <v>1</v>
      </c>
      <c r="H394" s="339">
        <f t="shared" si="141"/>
        <v>0</v>
      </c>
      <c r="I394" s="337">
        <f t="shared" si="142"/>
        <v>378663.79646350368</v>
      </c>
      <c r="J394" s="340">
        <f t="shared" si="143"/>
        <v>1.5707936859298091</v>
      </c>
      <c r="K394" s="348">
        <f t="shared" si="159"/>
        <v>5.8604822799499567</v>
      </c>
      <c r="L394" s="349">
        <f t="shared" si="160"/>
        <v>1.3993228299783784</v>
      </c>
      <c r="M394" s="337">
        <f t="shared" si="144"/>
        <v>1.0005590373983917</v>
      </c>
      <c r="N394" s="340">
        <f t="shared" si="145"/>
        <v>3.3429839571663844E-2</v>
      </c>
      <c r="O394" s="341">
        <f t="shared" si="146"/>
        <v>1.0002838471008226</v>
      </c>
      <c r="P394" s="342">
        <f t="shared" si="147"/>
        <v>5.2668972294099919E-2</v>
      </c>
      <c r="Q394" s="343">
        <f t="shared" si="148"/>
        <v>-0.35238591951899739</v>
      </c>
      <c r="R394" s="344">
        <f t="shared" si="149"/>
        <v>-47.97951135113987</v>
      </c>
      <c r="S394" s="346">
        <f t="shared" si="150"/>
        <v>132.02048864886012</v>
      </c>
      <c r="U394" s="319">
        <f t="shared" si="156"/>
        <v>34875.75</v>
      </c>
      <c r="V394" s="319">
        <f t="shared" si="157"/>
        <v>1216317938.0625</v>
      </c>
      <c r="X394" s="345">
        <f t="shared" si="151"/>
        <v>1.4959614669205126</v>
      </c>
      <c r="Y394" s="346">
        <f t="shared" si="152"/>
        <v>-11.739945086183281</v>
      </c>
      <c r="AA394" s="345">
        <f t="shared" si="153"/>
        <v>31.375281482492873</v>
      </c>
      <c r="AB394" s="346">
        <f t="shared" si="154"/>
        <v>-36.239566264956601</v>
      </c>
      <c r="AD394">
        <f t="shared" si="158"/>
        <v>0</v>
      </c>
      <c r="AE394">
        <f t="shared" si="161"/>
        <v>0</v>
      </c>
    </row>
    <row r="395" spans="1:31" x14ac:dyDescent="0.2">
      <c r="A395" s="347">
        <v>35077.5</v>
      </c>
      <c r="B395" s="364">
        <f t="shared" si="155"/>
        <v>35.077500000000001</v>
      </c>
      <c r="C395" s="337">
        <f t="shared" si="136"/>
        <v>1.1990912917908985</v>
      </c>
      <c r="D395" s="338">
        <f t="shared" si="137"/>
        <v>0.58454208485789272</v>
      </c>
      <c r="E395" s="338">
        <f t="shared" si="138"/>
        <v>1.0000021460619171</v>
      </c>
      <c r="F395" s="339">
        <f t="shared" si="139"/>
        <v>2.0717423001330943E-3</v>
      </c>
      <c r="G395" s="338">
        <f t="shared" si="140"/>
        <v>1</v>
      </c>
      <c r="H395" s="339">
        <f t="shared" si="141"/>
        <v>0</v>
      </c>
      <c r="I395" s="337">
        <f t="shared" si="142"/>
        <v>380854.29906017851</v>
      </c>
      <c r="J395" s="340">
        <f t="shared" si="143"/>
        <v>1.5707937011188771</v>
      </c>
      <c r="K395" s="348">
        <f t="shared" si="159"/>
        <v>5.8933997925231791</v>
      </c>
      <c r="L395" s="349">
        <f t="shared" si="160"/>
        <v>1.4002900110760252</v>
      </c>
      <c r="M395" s="337">
        <f t="shared" si="144"/>
        <v>1.0005655221364858</v>
      </c>
      <c r="N395" s="340">
        <f t="shared" si="145"/>
        <v>3.3623079939135395E-2</v>
      </c>
      <c r="O395" s="341">
        <f t="shared" si="146"/>
        <v>1.0002871472777537</v>
      </c>
      <c r="P395" s="342">
        <f t="shared" si="147"/>
        <v>5.2973762477307763E-2</v>
      </c>
      <c r="Q395" s="343">
        <f t="shared" si="148"/>
        <v>-0.36911622030782276</v>
      </c>
      <c r="R395" s="344">
        <f t="shared" si="149"/>
        <v>-48.103867795549434</v>
      </c>
      <c r="S395" s="346">
        <f t="shared" si="150"/>
        <v>131.89613220445057</v>
      </c>
      <c r="U395" s="319">
        <f t="shared" si="156"/>
        <v>35077.5</v>
      </c>
      <c r="V395" s="319">
        <f t="shared" si="157"/>
        <v>1230431006.25</v>
      </c>
      <c r="X395" s="345">
        <f t="shared" si="151"/>
        <v>1.4944545507217653</v>
      </c>
      <c r="Y395" s="346">
        <f t="shared" si="152"/>
        <v>-11.69560241896979</v>
      </c>
      <c r="AA395" s="345">
        <f t="shared" si="153"/>
        <v>31.360058097902794</v>
      </c>
      <c r="AB395" s="346">
        <f t="shared" si="154"/>
        <v>-36.408265376579656</v>
      </c>
      <c r="AD395">
        <f t="shared" si="158"/>
        <v>0</v>
      </c>
      <c r="AE395">
        <f t="shared" si="161"/>
        <v>0</v>
      </c>
    </row>
    <row r="396" spans="1:31" x14ac:dyDescent="0.2">
      <c r="A396" s="347">
        <v>35279.25</v>
      </c>
      <c r="B396" s="364">
        <f t="shared" si="155"/>
        <v>35.279249999999998</v>
      </c>
      <c r="C396" s="337">
        <f t="shared" si="136"/>
        <v>1.2011955277093687</v>
      </c>
      <c r="D396" s="338">
        <f t="shared" si="137"/>
        <v>0.58718429418614704</v>
      </c>
      <c r="E396" s="338">
        <f t="shared" si="138"/>
        <v>1.0000021708192479</v>
      </c>
      <c r="F396" s="339">
        <f t="shared" si="139"/>
        <v>2.083657995456865E-3</v>
      </c>
      <c r="G396" s="338">
        <f t="shared" si="140"/>
        <v>1</v>
      </c>
      <c r="H396" s="339">
        <f t="shared" si="141"/>
        <v>0</v>
      </c>
      <c r="I396" s="337">
        <f t="shared" si="142"/>
        <v>383044.80165685335</v>
      </c>
      <c r="J396" s="340">
        <f t="shared" si="143"/>
        <v>1.5707937161342227</v>
      </c>
      <c r="K396" s="348">
        <f t="shared" si="159"/>
        <v>5.9263227567685037</v>
      </c>
      <c r="L396" s="349">
        <f t="shared" si="160"/>
        <v>1.4012464469465256</v>
      </c>
      <c r="M396" s="337">
        <f t="shared" si="144"/>
        <v>1.0005720442370518</v>
      </c>
      <c r="N396" s="340">
        <f t="shared" si="145"/>
        <v>3.3816317794597608E-2</v>
      </c>
      <c r="O396" s="341">
        <f t="shared" si="146"/>
        <v>1.0002904666448158</v>
      </c>
      <c r="P396" s="342">
        <f t="shared" si="147"/>
        <v>5.3278554552028831E-2</v>
      </c>
      <c r="Q396" s="343">
        <f t="shared" si="148"/>
        <v>-0.38585687685234438</v>
      </c>
      <c r="R396" s="344">
        <f t="shared" si="149"/>
        <v>-48.228308654370736</v>
      </c>
      <c r="S396" s="346">
        <f t="shared" si="150"/>
        <v>131.77169134562928</v>
      </c>
      <c r="U396" s="319">
        <f t="shared" si="156"/>
        <v>35279.25</v>
      </c>
      <c r="V396" s="319">
        <f t="shared" si="157"/>
        <v>1244625480.5625</v>
      </c>
      <c r="X396" s="345">
        <f t="shared" si="151"/>
        <v>1.4929716538312698</v>
      </c>
      <c r="Y396" s="346">
        <f t="shared" si="152"/>
        <v>-11.651875254041306</v>
      </c>
      <c r="AA396" s="345">
        <f t="shared" si="153"/>
        <v>31.344800338248767</v>
      </c>
      <c r="AB396" s="346">
        <f t="shared" si="154"/>
        <v>-36.576433400329414</v>
      </c>
      <c r="AD396">
        <f t="shared" si="158"/>
        <v>0</v>
      </c>
      <c r="AE396">
        <f t="shared" si="161"/>
        <v>0</v>
      </c>
    </row>
    <row r="397" spans="1:31" x14ac:dyDescent="0.2">
      <c r="A397" s="347">
        <v>35481</v>
      </c>
      <c r="B397" s="364">
        <f t="shared" si="155"/>
        <v>35.481000000000002</v>
      </c>
      <c r="C397" s="337">
        <f t="shared" ref="C397:C460" si="162">SQRT(1+(A397/pole1)^2)</f>
        <v>1.2033081201353233</v>
      </c>
      <c r="D397" s="338">
        <f t="shared" ref="D397:D460" si="163">ATAN(A397/pole1)</f>
        <v>0.58981724423259918</v>
      </c>
      <c r="E397" s="338">
        <f t="shared" ref="E397:E460" si="164">SQRT(1+(A397/Zero1)^2)</f>
        <v>1.0000021957185632</v>
      </c>
      <c r="F397" s="339">
        <f t="shared" ref="F397:F460" si="165">ATAN(A397/Zero1)</f>
        <v>2.0955736901889432E-3</v>
      </c>
      <c r="G397" s="338">
        <f t="shared" ref="G397:G460" si="166">IF(VIN_nom&gt;Vout, 1, SQRT(1+(A397/z_RHP)^2))</f>
        <v>1</v>
      </c>
      <c r="H397" s="339">
        <f t="shared" ref="H397:H460" si="167">IF(VIN_nom&gt;Vout, 0, -ATAN(A397/z_RHP))</f>
        <v>0</v>
      </c>
      <c r="I397" s="337">
        <f t="shared" ref="I397:I460" si="168">SQRT(1+(A397/Pole2)^2)</f>
        <v>385235.3042535283</v>
      </c>
      <c r="J397" s="340">
        <f t="shared" ref="J397:J460" si="169">ATAN(A397/Pole2)</f>
        <v>1.5707937309788098</v>
      </c>
      <c r="K397" s="348">
        <f t="shared" si="159"/>
        <v>5.9592510823296756</v>
      </c>
      <c r="L397" s="349">
        <f t="shared" si="160"/>
        <v>1.4021923139462555</v>
      </c>
      <c r="M397" s="337">
        <f t="shared" ref="M397:M460" si="170">SQRT(1+(A397/pole4)^2)</f>
        <v>1.0005786036993594</v>
      </c>
      <c r="N397" s="340">
        <f t="shared" ref="N397:N460" si="171">ATAN(A397/pole4)</f>
        <v>3.4009553123668421E-2</v>
      </c>
      <c r="O397" s="341">
        <f t="shared" ref="O397:O460" si="172">SQRT((1-(V397/pterm2))^2+(A397/pterm1)^2)</f>
        <v>1.0002938052046688</v>
      </c>
      <c r="P397" s="342">
        <f t="shared" ref="P397:P460" si="173">IF((ATAN((A397/pterm1)/(1-A397^2/pterm2))&gt;0),ATAN((A397/pterm1)/(1-A397^2/pterm2)),PI()+ATAN((A397/pterm1)/(1-A397^2/pterm2)))</f>
        <v>5.3583348529015723E-2</v>
      </c>
      <c r="Q397" s="343">
        <f t="shared" ref="Q397:Q460" si="174">20*LOG10(((E397*K397*G397)/(C397*I397*O397*M397))*Adc)</f>
        <v>-0.40260788400649805</v>
      </c>
      <c r="R397" s="344">
        <f t="shared" ref="R397:R460" si="175">((F397+L397+H397)-(D397+J397+P397+N397))*radconv</f>
        <v>-48.352824501603266</v>
      </c>
      <c r="S397" s="346">
        <f t="shared" ref="S397:S460" si="176">IF(R397&gt;0,R397,R397+180)</f>
        <v>131.64717549839673</v>
      </c>
      <c r="U397" s="319">
        <f t="shared" si="156"/>
        <v>35481</v>
      </c>
      <c r="V397" s="319">
        <f t="shared" si="157"/>
        <v>1258901361</v>
      </c>
      <c r="X397" s="345">
        <f t="shared" ref="X397:X460" si="177">20*LOG10((K397/(I397*M397))*AEA)</f>
        <v>1.491512237137973</v>
      </c>
      <c r="Y397" s="346">
        <f t="shared" ref="Y397:Y460" si="178">(L397-(J397+N397))*radconv</f>
        <v>-11.608753486267569</v>
      </c>
      <c r="AA397" s="345">
        <f t="shared" ref="AA397:AA460" si="179">20*LOG10((E397*G397/(C397*O397))*Acs*Am)</f>
        <v>31.329508747787909</v>
      </c>
      <c r="AB397" s="346">
        <f t="shared" ref="AB397:AB460" si="180">(F397+H397-(D397+P397))*radconv</f>
        <v>-36.744071015335692</v>
      </c>
      <c r="AD397">
        <f t="shared" si="158"/>
        <v>0</v>
      </c>
      <c r="AE397">
        <f t="shared" si="161"/>
        <v>0</v>
      </c>
    </row>
    <row r="398" spans="1:31" x14ac:dyDescent="0.2">
      <c r="A398" s="347">
        <v>35687.75</v>
      </c>
      <c r="B398" s="364">
        <f t="shared" ref="B398:B461" si="181">A398/1000</f>
        <v>35.687750000000001</v>
      </c>
      <c r="C398" s="337">
        <f t="shared" si="162"/>
        <v>1.2054816930170746</v>
      </c>
      <c r="D398" s="338">
        <f t="shared" si="163"/>
        <v>0.59250585357264696</v>
      </c>
      <c r="E398" s="338">
        <f t="shared" si="164"/>
        <v>1.0000022213822675</v>
      </c>
      <c r="F398" s="339">
        <f t="shared" si="165"/>
        <v>2.1077846927232431E-3</v>
      </c>
      <c r="G398" s="338">
        <f t="shared" si="166"/>
        <v>1</v>
      </c>
      <c r="H398" s="339">
        <f t="shared" si="167"/>
        <v>0</v>
      </c>
      <c r="I398" s="337">
        <f t="shared" si="168"/>
        <v>387480.09439906769</v>
      </c>
      <c r="J398" s="340">
        <f t="shared" si="169"/>
        <v>1.5707937460171626</v>
      </c>
      <c r="K398" s="348">
        <f t="shared" si="159"/>
        <v>5.9930009452640318</v>
      </c>
      <c r="L398" s="349">
        <f t="shared" si="160"/>
        <v>1.4031508379744164</v>
      </c>
      <c r="M398" s="337">
        <f t="shared" si="170"/>
        <v>1.0005853644871476</v>
      </c>
      <c r="N398" s="340">
        <f t="shared" si="171"/>
        <v>3.4207574796265634E-2</v>
      </c>
      <c r="O398" s="341">
        <f t="shared" si="172"/>
        <v>1.0002972464195135</v>
      </c>
      <c r="P398" s="342">
        <f t="shared" si="173"/>
        <v>5.3895698244890856E-2</v>
      </c>
      <c r="Q398" s="343">
        <f t="shared" si="174"/>
        <v>-0.41978475535864435</v>
      </c>
      <c r="R398" s="344">
        <f t="shared" si="175"/>
        <v>-48.480494437586856</v>
      </c>
      <c r="S398" s="346">
        <f t="shared" si="176"/>
        <v>131.51950556241314</v>
      </c>
      <c r="U398" s="319">
        <f t="shared" ref="U398:U461" si="182">IF(Q398&lt;0,A398,1000000000)</f>
        <v>35687.75</v>
      </c>
      <c r="V398" s="319">
        <f t="shared" ref="V398:V461" si="183">A398^2</f>
        <v>1273615500.0625</v>
      </c>
      <c r="X398" s="345">
        <f t="shared" si="177"/>
        <v>1.4900404633924722</v>
      </c>
      <c r="Y398" s="346">
        <f t="shared" si="178"/>
        <v>-11.56518077256837</v>
      </c>
      <c r="AA398" s="345">
        <f t="shared" si="179"/>
        <v>31.313803650181264</v>
      </c>
      <c r="AB398" s="346">
        <f t="shared" si="180"/>
        <v>-36.915313665018473</v>
      </c>
      <c r="AD398">
        <f t="shared" ref="AD398:AD461" si="184">SUM((Q399&lt;0)*(Q398&gt;0))*A398</f>
        <v>0</v>
      </c>
      <c r="AE398">
        <f t="shared" si="161"/>
        <v>0</v>
      </c>
    </row>
    <row r="399" spans="1:31" x14ac:dyDescent="0.2">
      <c r="A399" s="347">
        <v>35894.5</v>
      </c>
      <c r="B399" s="364">
        <f t="shared" si="181"/>
        <v>35.894500000000001</v>
      </c>
      <c r="C399" s="337">
        <f t="shared" si="162"/>
        <v>1.2076639484643721</v>
      </c>
      <c r="D399" s="338">
        <f t="shared" si="163"/>
        <v>0.59518476555540423</v>
      </c>
      <c r="E399" s="338">
        <f t="shared" si="164"/>
        <v>1.0000022471950809</v>
      </c>
      <c r="F399" s="339">
        <f t="shared" si="165"/>
        <v>2.1199956946289641E-3</v>
      </c>
      <c r="G399" s="338">
        <f t="shared" si="166"/>
        <v>1</v>
      </c>
      <c r="H399" s="339">
        <f t="shared" si="167"/>
        <v>0</v>
      </c>
      <c r="I399" s="337">
        <f t="shared" si="168"/>
        <v>389724.88454460708</v>
      </c>
      <c r="J399" s="340">
        <f t="shared" si="169"/>
        <v>1.5707937608822755</v>
      </c>
      <c r="K399" s="348">
        <f t="shared" si="159"/>
        <v>6.026756252705562</v>
      </c>
      <c r="L399" s="349">
        <f t="shared" si="160"/>
        <v>1.4040986256554278</v>
      </c>
      <c r="M399" s="337">
        <f t="shared" si="170"/>
        <v>1.0005921645099412</v>
      </c>
      <c r="N399" s="340">
        <f t="shared" si="171"/>
        <v>3.4405593785117643E-2</v>
      </c>
      <c r="O399" s="341">
        <f t="shared" si="172"/>
        <v>1.000300707795958</v>
      </c>
      <c r="P399" s="342">
        <f t="shared" si="173"/>
        <v>5.4208049981345631E-2</v>
      </c>
      <c r="Q399" s="343">
        <f t="shared" si="174"/>
        <v>-0.43697245061411105</v>
      </c>
      <c r="R399" s="344">
        <f t="shared" si="175"/>
        <v>-48.60822385541789</v>
      </c>
      <c r="S399" s="346">
        <f t="shared" si="176"/>
        <v>131.39177614458211</v>
      </c>
      <c r="U399" s="319">
        <f t="shared" si="182"/>
        <v>35894.5</v>
      </c>
      <c r="V399" s="319">
        <f t="shared" si="183"/>
        <v>1288415130.25</v>
      </c>
      <c r="X399" s="345">
        <f t="shared" si="177"/>
        <v>1.4885922487775689</v>
      </c>
      <c r="Y399" s="346">
        <f t="shared" si="178"/>
        <v>-11.522223042555739</v>
      </c>
      <c r="AA399" s="345">
        <f t="shared" si="179"/>
        <v>31.298064169540698</v>
      </c>
      <c r="AB399" s="346">
        <f t="shared" si="180"/>
        <v>-37.086000812862146</v>
      </c>
      <c r="AD399">
        <f t="shared" si="184"/>
        <v>0</v>
      </c>
      <c r="AE399">
        <f t="shared" si="161"/>
        <v>0</v>
      </c>
    </row>
    <row r="400" spans="1:31" x14ac:dyDescent="0.2">
      <c r="A400" s="347">
        <v>36101.25</v>
      </c>
      <c r="B400" s="364">
        <f t="shared" si="181"/>
        <v>36.10125</v>
      </c>
      <c r="C400" s="337">
        <f t="shared" si="162"/>
        <v>1.2098548394941198</v>
      </c>
      <c r="D400" s="338">
        <f t="shared" si="163"/>
        <v>0.59785399430841302</v>
      </c>
      <c r="E400" s="338">
        <f t="shared" si="164"/>
        <v>1.0000022731570031</v>
      </c>
      <c r="F400" s="339">
        <f t="shared" si="165"/>
        <v>2.1322066959024648E-3</v>
      </c>
      <c r="G400" s="338">
        <f t="shared" si="166"/>
        <v>1</v>
      </c>
      <c r="H400" s="339">
        <f t="shared" si="167"/>
        <v>0</v>
      </c>
      <c r="I400" s="337">
        <f t="shared" si="168"/>
        <v>391969.67469014664</v>
      </c>
      <c r="J400" s="340">
        <f t="shared" si="169"/>
        <v>1.5707937755771251</v>
      </c>
      <c r="K400" s="348">
        <f t="shared" si="159"/>
        <v>6.0605169136813268</v>
      </c>
      <c r="L400" s="349">
        <f t="shared" si="160"/>
        <v>1.4050358546955026</v>
      </c>
      <c r="M400" s="337">
        <f t="shared" si="170"/>
        <v>1.0005990037669401</v>
      </c>
      <c r="N400" s="340">
        <f t="shared" si="171"/>
        <v>3.460361007475006E-2</v>
      </c>
      <c r="O400" s="341">
        <f t="shared" si="172"/>
        <v>1.0003041893369156</v>
      </c>
      <c r="P400" s="342">
        <f t="shared" si="173"/>
        <v>5.4520403749944969E-2</v>
      </c>
      <c r="Q400" s="343">
        <f t="shared" si="174"/>
        <v>-0.4541709296156265</v>
      </c>
      <c r="R400" s="344">
        <f t="shared" si="175"/>
        <v>-48.736003382675676</v>
      </c>
      <c r="S400" s="346">
        <f t="shared" si="176"/>
        <v>131.26399661732432</v>
      </c>
      <c r="U400" s="319">
        <f t="shared" si="182"/>
        <v>36101.25</v>
      </c>
      <c r="V400" s="319">
        <f t="shared" si="183"/>
        <v>1303300251.5625</v>
      </c>
      <c r="X400" s="345">
        <f t="shared" si="177"/>
        <v>1.4871670598051865</v>
      </c>
      <c r="Y400" s="346">
        <f t="shared" si="178"/>
        <v>-11.479870113697597</v>
      </c>
      <c r="AA400" s="345">
        <f t="shared" si="179"/>
        <v>31.282290879511567</v>
      </c>
      <c r="AB400" s="346">
        <f t="shared" si="180"/>
        <v>-37.256133268978068</v>
      </c>
      <c r="AD400">
        <f t="shared" si="184"/>
        <v>0</v>
      </c>
      <c r="AE400">
        <f t="shared" si="161"/>
        <v>0</v>
      </c>
    </row>
    <row r="401" spans="1:31" x14ac:dyDescent="0.2">
      <c r="A401" s="347">
        <v>36308</v>
      </c>
      <c r="B401" s="364">
        <f t="shared" si="181"/>
        <v>36.308</v>
      </c>
      <c r="C401" s="337">
        <f t="shared" si="162"/>
        <v>1.2120543192776738</v>
      </c>
      <c r="D401" s="338">
        <f t="shared" si="163"/>
        <v>0.60051355440919596</v>
      </c>
      <c r="E401" s="338">
        <f t="shared" si="164"/>
        <v>1.0000022992680342</v>
      </c>
      <c r="F401" s="339">
        <f t="shared" si="165"/>
        <v>2.1444176965401043E-3</v>
      </c>
      <c r="G401" s="338">
        <f t="shared" si="166"/>
        <v>1</v>
      </c>
      <c r="H401" s="339">
        <f t="shared" si="167"/>
        <v>0</v>
      </c>
      <c r="I401" s="337">
        <f t="shared" si="168"/>
        <v>394214.46483568626</v>
      </c>
      <c r="J401" s="340">
        <f t="shared" si="169"/>
        <v>1.5707937901046196</v>
      </c>
      <c r="K401" s="348">
        <f t="shared" si="159"/>
        <v>6.0942828392199786</v>
      </c>
      <c r="L401" s="349">
        <f t="shared" si="160"/>
        <v>1.4059626989376037</v>
      </c>
      <c r="M401" s="337">
        <f t="shared" si="170"/>
        <v>1.00060588225734</v>
      </c>
      <c r="N401" s="340">
        <f t="shared" si="171"/>
        <v>3.4801623649689792E-2</v>
      </c>
      <c r="O401" s="341">
        <f t="shared" si="172"/>
        <v>1.0003076910453146</v>
      </c>
      <c r="P401" s="342">
        <f t="shared" si="173"/>
        <v>5.4832759562251275E-2</v>
      </c>
      <c r="Q401" s="343">
        <f t="shared" si="174"/>
        <v>-0.47138014157311453</v>
      </c>
      <c r="R401" s="344">
        <f t="shared" si="175"/>
        <v>-48.863823894065398</v>
      </c>
      <c r="S401" s="346">
        <f t="shared" si="176"/>
        <v>131.1361761059346</v>
      </c>
      <c r="U401" s="319">
        <f t="shared" si="182"/>
        <v>36308</v>
      </c>
      <c r="V401" s="319">
        <f t="shared" si="183"/>
        <v>1318270864</v>
      </c>
      <c r="X401" s="345">
        <f t="shared" si="177"/>
        <v>1.4857643777251059</v>
      </c>
      <c r="Y401" s="346">
        <f t="shared" si="178"/>
        <v>-11.438112024805957</v>
      </c>
      <c r="AA401" s="345">
        <f t="shared" si="179"/>
        <v>31.266484349634162</v>
      </c>
      <c r="AB401" s="346">
        <f t="shared" si="180"/>
        <v>-37.425711869259459</v>
      </c>
      <c r="AD401">
        <f t="shared" si="184"/>
        <v>0</v>
      </c>
      <c r="AE401">
        <f t="shared" si="161"/>
        <v>0</v>
      </c>
    </row>
    <row r="402" spans="1:31" x14ac:dyDescent="0.2">
      <c r="A402" s="347">
        <v>36519.5</v>
      </c>
      <c r="B402" s="364">
        <f t="shared" si="181"/>
        <v>36.519500000000001</v>
      </c>
      <c r="C402" s="337">
        <f t="shared" si="162"/>
        <v>1.2143131695883858</v>
      </c>
      <c r="D402" s="338">
        <f t="shared" si="163"/>
        <v>0.60322422811634702</v>
      </c>
      <c r="E402" s="338">
        <f t="shared" si="164"/>
        <v>1.0000023261332427</v>
      </c>
      <c r="F402" s="339">
        <f t="shared" si="165"/>
        <v>2.1569092394568938E-3</v>
      </c>
      <c r="G402" s="338">
        <f t="shared" si="166"/>
        <v>1</v>
      </c>
      <c r="H402" s="339">
        <f t="shared" si="167"/>
        <v>0</v>
      </c>
      <c r="I402" s="337">
        <f t="shared" si="168"/>
        <v>396510.82815264707</v>
      </c>
      <c r="J402" s="340">
        <f t="shared" si="169"/>
        <v>1.5707938047956749</v>
      </c>
      <c r="K402" s="348">
        <f t="shared" si="159"/>
        <v>6.1288298802832166</v>
      </c>
      <c r="L402" s="349">
        <f t="shared" si="160"/>
        <v>1.4069002689583705</v>
      </c>
      <c r="M402" s="337">
        <f t="shared" si="170"/>
        <v>1.0006129593733235</v>
      </c>
      <c r="N402" s="340">
        <f t="shared" si="171"/>
        <v>3.5004183683602724E-2</v>
      </c>
      <c r="O402" s="341">
        <f t="shared" si="172"/>
        <v>1.0003112940749328</v>
      </c>
      <c r="P402" s="342">
        <f t="shared" si="173"/>
        <v>5.5152293753323048E-2</v>
      </c>
      <c r="Q402" s="343">
        <f t="shared" si="174"/>
        <v>-0.4889957704945298</v>
      </c>
      <c r="R402" s="344">
        <f t="shared" si="175"/>
        <v>-48.994614176730273</v>
      </c>
      <c r="S402" s="346">
        <f t="shared" si="176"/>
        <v>131.00538582326973</v>
      </c>
      <c r="U402" s="319">
        <f t="shared" si="182"/>
        <v>36519.5</v>
      </c>
      <c r="V402" s="319">
        <f t="shared" si="183"/>
        <v>1333673880.25</v>
      </c>
      <c r="X402" s="345">
        <f t="shared" si="177"/>
        <v>1.4843522321085156</v>
      </c>
      <c r="Y402" s="346">
        <f t="shared" si="178"/>
        <v>-11.395999896346614</v>
      </c>
      <c r="AA402" s="345">
        <f t="shared" si="179"/>
        <v>31.250280866329334</v>
      </c>
      <c r="AB402" s="346">
        <f t="shared" si="180"/>
        <v>-37.598614280383664</v>
      </c>
      <c r="AD402">
        <f t="shared" si="184"/>
        <v>0</v>
      </c>
      <c r="AE402">
        <f t="shared" si="161"/>
        <v>0</v>
      </c>
    </row>
    <row r="403" spans="1:31" x14ac:dyDescent="0.2">
      <c r="A403" s="347">
        <v>36731</v>
      </c>
      <c r="B403" s="364">
        <f t="shared" si="181"/>
        <v>36.731000000000002</v>
      </c>
      <c r="C403" s="337">
        <f t="shared" si="162"/>
        <v>1.2165809091998248</v>
      </c>
      <c r="D403" s="338">
        <f t="shared" si="163"/>
        <v>0.60592481606752646</v>
      </c>
      <c r="E403" s="338">
        <f t="shared" si="164"/>
        <v>1.0000023531544904</v>
      </c>
      <c r="F403" s="339">
        <f t="shared" si="165"/>
        <v>2.1694007817005603E-3</v>
      </c>
      <c r="G403" s="338">
        <f t="shared" si="166"/>
        <v>1</v>
      </c>
      <c r="H403" s="339">
        <f t="shared" si="167"/>
        <v>0</v>
      </c>
      <c r="I403" s="337">
        <f t="shared" si="168"/>
        <v>398807.19146960793</v>
      </c>
      <c r="J403" s="340">
        <f t="shared" si="169"/>
        <v>1.5707938193175457</v>
      </c>
      <c r="K403" s="348">
        <f t="shared" si="159"/>
        <v>6.1633822484194729</v>
      </c>
      <c r="L403" s="349">
        <f t="shared" si="160"/>
        <v>1.4078273276153161</v>
      </c>
      <c r="M403" s="337">
        <f t="shared" si="170"/>
        <v>1.0006200775444425</v>
      </c>
      <c r="N403" s="340">
        <f t="shared" si="171"/>
        <v>3.5206740843899638E-2</v>
      </c>
      <c r="O403" s="341">
        <f t="shared" si="172"/>
        <v>1.0003149182155713</v>
      </c>
      <c r="P403" s="342">
        <f t="shared" si="173"/>
        <v>5.5471830107557019E-2</v>
      </c>
      <c r="Q403" s="343">
        <f t="shared" si="174"/>
        <v>-0.50662249172927953</v>
      </c>
      <c r="R403" s="344">
        <f t="shared" si="175"/>
        <v>-49.125428794567689</v>
      </c>
      <c r="S403" s="346">
        <f t="shared" si="176"/>
        <v>130.87457120543232</v>
      </c>
      <c r="U403" s="319">
        <f t="shared" si="182"/>
        <v>36731</v>
      </c>
      <c r="V403" s="319">
        <f t="shared" si="183"/>
        <v>1349166361</v>
      </c>
      <c r="X403" s="345">
        <f t="shared" si="177"/>
        <v>1.4829625864027203</v>
      </c>
      <c r="Y403" s="346">
        <f t="shared" si="178"/>
        <v>-11.354489850332202</v>
      </c>
      <c r="AA403" s="345">
        <f t="shared" si="179"/>
        <v>31.234043790800378</v>
      </c>
      <c r="AB403" s="346">
        <f t="shared" si="180"/>
        <v>-37.770938944235475</v>
      </c>
      <c r="AD403">
        <f t="shared" si="184"/>
        <v>0</v>
      </c>
      <c r="AE403">
        <f t="shared" si="161"/>
        <v>0</v>
      </c>
    </row>
    <row r="404" spans="1:31" x14ac:dyDescent="0.2">
      <c r="A404" s="347">
        <v>36942.5</v>
      </c>
      <c r="B404" s="364">
        <f t="shared" si="181"/>
        <v>36.942500000000003</v>
      </c>
      <c r="C404" s="337">
        <f t="shared" si="162"/>
        <v>1.2188574884951506</v>
      </c>
      <c r="D404" s="338">
        <f t="shared" si="163"/>
        <v>0.60861533527591183</v>
      </c>
      <c r="E404" s="338">
        <f t="shared" si="164"/>
        <v>1.0000023803317768</v>
      </c>
      <c r="F404" s="339">
        <f t="shared" si="165"/>
        <v>2.1818923232672046E-3</v>
      </c>
      <c r="G404" s="338">
        <f t="shared" si="166"/>
        <v>1</v>
      </c>
      <c r="H404" s="339">
        <f t="shared" si="167"/>
        <v>0</v>
      </c>
      <c r="I404" s="337">
        <f t="shared" si="168"/>
        <v>401103.55478656892</v>
      </c>
      <c r="J404" s="340">
        <f t="shared" si="169"/>
        <v>1.5707938336731377</v>
      </c>
      <c r="K404" s="348">
        <f t="shared" si="159"/>
        <v>6.1979398545364113</v>
      </c>
      <c r="L404" s="349">
        <f t="shared" si="160"/>
        <v>1.4087440491248442</v>
      </c>
      <c r="M404" s="337">
        <f t="shared" si="170"/>
        <v>1.000627236769821</v>
      </c>
      <c r="N404" s="340">
        <f t="shared" si="171"/>
        <v>3.5409295114020453E-2</v>
      </c>
      <c r="O404" s="341">
        <f t="shared" si="172"/>
        <v>1.0003185634704197</v>
      </c>
      <c r="P404" s="342">
        <f t="shared" si="173"/>
        <v>5.5791368637322966E-2</v>
      </c>
      <c r="Q404" s="343">
        <f t="shared" si="174"/>
        <v>-0.52426021952833746</v>
      </c>
      <c r="R404" s="344">
        <f t="shared" si="175"/>
        <v>-49.256258740422837</v>
      </c>
      <c r="S404" s="346">
        <f t="shared" si="176"/>
        <v>130.74374125957718</v>
      </c>
      <c r="U404" s="319">
        <f t="shared" si="182"/>
        <v>36942.5</v>
      </c>
      <c r="V404" s="319">
        <f t="shared" si="183"/>
        <v>1364748306.25</v>
      </c>
      <c r="X404" s="345">
        <f t="shared" si="177"/>
        <v>1.4815949300589881</v>
      </c>
      <c r="Y404" s="346">
        <f t="shared" si="178"/>
        <v>-11.313571904115735</v>
      </c>
      <c r="AA404" s="345">
        <f t="shared" si="179"/>
        <v>31.217773719345058</v>
      </c>
      <c r="AB404" s="346">
        <f t="shared" si="180"/>
        <v>-37.942686836307104</v>
      </c>
      <c r="AD404">
        <f t="shared" si="184"/>
        <v>0</v>
      </c>
      <c r="AE404">
        <f t="shared" si="161"/>
        <v>0</v>
      </c>
    </row>
    <row r="405" spans="1:31" x14ac:dyDescent="0.2">
      <c r="A405" s="347">
        <v>37154</v>
      </c>
      <c r="B405" s="364">
        <f t="shared" si="181"/>
        <v>37.154000000000003</v>
      </c>
      <c r="C405" s="337">
        <f t="shared" si="162"/>
        <v>1.2211428580348387</v>
      </c>
      <c r="D405" s="338">
        <f t="shared" si="163"/>
        <v>0.61129580321114885</v>
      </c>
      <c r="E405" s="338">
        <f t="shared" si="164"/>
        <v>1.0000024076651024</v>
      </c>
      <c r="F405" s="339">
        <f t="shared" si="165"/>
        <v>2.1943838641529287E-3</v>
      </c>
      <c r="G405" s="338">
        <f t="shared" si="166"/>
        <v>1</v>
      </c>
      <c r="H405" s="339">
        <f t="shared" si="167"/>
        <v>0</v>
      </c>
      <c r="I405" s="337">
        <f t="shared" si="168"/>
        <v>403399.91810352996</v>
      </c>
      <c r="J405" s="340">
        <f t="shared" si="169"/>
        <v>1.5707938478652907</v>
      </c>
      <c r="K405" s="348">
        <f t="shared" si="159"/>
        <v>6.2325026115043078</v>
      </c>
      <c r="L405" s="349">
        <f t="shared" si="160"/>
        <v>1.4096506039092231</v>
      </c>
      <c r="M405" s="337">
        <f t="shared" si="170"/>
        <v>1.0006344370485778</v>
      </c>
      <c r="N405" s="340">
        <f t="shared" si="171"/>
        <v>3.5611846477406485E-2</v>
      </c>
      <c r="O405" s="341">
        <f t="shared" si="172"/>
        <v>1.0003222298426875</v>
      </c>
      <c r="P405" s="342">
        <f t="shared" si="173"/>
        <v>5.6110909354987949E-2</v>
      </c>
      <c r="Q405" s="343">
        <f t="shared" si="174"/>
        <v>-0.54190885856557192</v>
      </c>
      <c r="R405" s="344">
        <f t="shared" si="175"/>
        <v>-49.387095250678804</v>
      </c>
      <c r="S405" s="346">
        <f t="shared" si="176"/>
        <v>130.61290474932119</v>
      </c>
      <c r="U405" s="319">
        <f t="shared" si="182"/>
        <v>37154</v>
      </c>
      <c r="V405" s="319">
        <f t="shared" si="183"/>
        <v>1380419716</v>
      </c>
      <c r="X405" s="345">
        <f t="shared" si="177"/>
        <v>1.4802487666453441</v>
      </c>
      <c r="Y405" s="346">
        <f t="shared" si="178"/>
        <v>-11.273236292434452</v>
      </c>
      <c r="AA405" s="345">
        <f t="shared" si="179"/>
        <v>31.201471243721464</v>
      </c>
      <c r="AB405" s="346">
        <f t="shared" si="180"/>
        <v>-38.113858958244343</v>
      </c>
      <c r="AD405">
        <f t="shared" si="184"/>
        <v>0</v>
      </c>
      <c r="AE405">
        <f t="shared" si="161"/>
        <v>0</v>
      </c>
    </row>
    <row r="406" spans="1:31" x14ac:dyDescent="0.2">
      <c r="A406" s="347">
        <v>37370.25</v>
      </c>
      <c r="B406" s="364">
        <f t="shared" si="181"/>
        <v>37.370249999999999</v>
      </c>
      <c r="C406" s="337">
        <f t="shared" si="162"/>
        <v>1.2234885911148248</v>
      </c>
      <c r="D406" s="338">
        <f t="shared" si="163"/>
        <v>0.61402609703258737</v>
      </c>
      <c r="E406" s="338">
        <f t="shared" si="164"/>
        <v>1.0000024357736319</v>
      </c>
      <c r="F406" s="339">
        <f t="shared" si="165"/>
        <v>2.2071559472109747E-3</v>
      </c>
      <c r="G406" s="338">
        <f t="shared" si="166"/>
        <v>1</v>
      </c>
      <c r="H406" s="339">
        <f t="shared" si="167"/>
        <v>0</v>
      </c>
      <c r="I406" s="337">
        <f t="shared" si="168"/>
        <v>405747.85459191212</v>
      </c>
      <c r="J406" s="340">
        <f t="shared" si="169"/>
        <v>1.5707938622100845</v>
      </c>
      <c r="K406" s="348">
        <f t="shared" si="159"/>
        <v>6.2678468375126455</v>
      </c>
      <c r="L406" s="349">
        <f t="shared" si="160"/>
        <v>1.4105671805439721</v>
      </c>
      <c r="M406" s="337">
        <f t="shared" si="170"/>
        <v>1.0006418414815355</v>
      </c>
      <c r="N406" s="340">
        <f t="shared" si="171"/>
        <v>3.581894384404706E-2</v>
      </c>
      <c r="O406" s="341">
        <f t="shared" si="172"/>
        <v>1.0003260003941579</v>
      </c>
      <c r="P406" s="342">
        <f t="shared" si="173"/>
        <v>5.6437628794067024E-2</v>
      </c>
      <c r="Q406" s="343">
        <f t="shared" si="174"/>
        <v>-0.55996503456860813</v>
      </c>
      <c r="R406" s="344">
        <f t="shared" si="175"/>
        <v>-49.520868076301532</v>
      </c>
      <c r="S406" s="346">
        <f t="shared" si="176"/>
        <v>130.47913192369847</v>
      </c>
      <c r="U406" s="319">
        <f t="shared" si="182"/>
        <v>37370.25</v>
      </c>
      <c r="V406" s="319">
        <f t="shared" si="183"/>
        <v>1396535585.0625</v>
      </c>
      <c r="X406" s="345">
        <f t="shared" si="177"/>
        <v>1.478894089826609</v>
      </c>
      <c r="Y406" s="346">
        <f t="shared" si="178"/>
        <v>-11.232586946569505</v>
      </c>
      <c r="AA406" s="345">
        <f t="shared" si="179"/>
        <v>31.184769744537167</v>
      </c>
      <c r="AB406" s="346">
        <f t="shared" si="180"/>
        <v>-38.288281129732013</v>
      </c>
      <c r="AD406">
        <f t="shared" si="184"/>
        <v>0</v>
      </c>
      <c r="AE406">
        <f t="shared" si="161"/>
        <v>0</v>
      </c>
    </row>
    <row r="407" spans="1:31" x14ac:dyDescent="0.2">
      <c r="A407" s="347">
        <v>37586.5</v>
      </c>
      <c r="B407" s="364">
        <f t="shared" si="181"/>
        <v>37.586500000000001</v>
      </c>
      <c r="C407" s="337">
        <f t="shared" si="162"/>
        <v>1.225843409750891</v>
      </c>
      <c r="D407" s="338">
        <f t="shared" si="163"/>
        <v>0.61674592139364248</v>
      </c>
      <c r="E407" s="338">
        <f t="shared" si="164"/>
        <v>1.0000024640452878</v>
      </c>
      <c r="F407" s="339">
        <f t="shared" si="165"/>
        <v>2.2199280295489296E-3</v>
      </c>
      <c r="G407" s="338">
        <f t="shared" si="166"/>
        <v>1</v>
      </c>
      <c r="H407" s="339">
        <f t="shared" si="167"/>
        <v>0</v>
      </c>
      <c r="I407" s="337">
        <f t="shared" si="168"/>
        <v>408095.79108029453</v>
      </c>
      <c r="J407" s="340">
        <f t="shared" si="169"/>
        <v>1.5707938763898157</v>
      </c>
      <c r="K407" s="348">
        <f t="shared" ref="K407:K470" si="185">SQRT(1+(A407/Zero2)^2)</f>
        <v>6.3031962701631015</v>
      </c>
      <c r="L407" s="349">
        <f t="shared" ref="L407:L470" si="186">ATAN(A407/Zero2)</f>
        <v>1.4114734772872477</v>
      </c>
      <c r="M407" s="337">
        <f t="shared" si="170"/>
        <v>1.0006492888307041</v>
      </c>
      <c r="N407" s="340">
        <f t="shared" si="171"/>
        <v>3.6026038136918383E-2</v>
      </c>
      <c r="O407" s="341">
        <f t="shared" si="172"/>
        <v>1.0003297930290782</v>
      </c>
      <c r="P407" s="342">
        <f t="shared" si="173"/>
        <v>5.6764350546562217E-2</v>
      </c>
      <c r="Q407" s="343">
        <f t="shared" si="174"/>
        <v>-0.57803238723461314</v>
      </c>
      <c r="R407" s="344">
        <f t="shared" si="175"/>
        <v>-49.654629987444594</v>
      </c>
      <c r="S407" s="346">
        <f t="shared" si="176"/>
        <v>130.34537001255541</v>
      </c>
      <c r="U407" s="319">
        <f t="shared" si="182"/>
        <v>37586.5</v>
      </c>
      <c r="V407" s="319">
        <f t="shared" si="183"/>
        <v>1412744982.25</v>
      </c>
      <c r="X407" s="345">
        <f t="shared" si="177"/>
        <v>1.4775608757541239</v>
      </c>
      <c r="Y407" s="346">
        <f t="shared" si="178"/>
        <v>-11.192526409529112</v>
      </c>
      <c r="AA407" s="345">
        <f t="shared" si="179"/>
        <v>31.168035605943643</v>
      </c>
      <c r="AB407" s="346">
        <f t="shared" si="180"/>
        <v>-38.462103577915499</v>
      </c>
      <c r="AD407">
        <f t="shared" si="184"/>
        <v>0</v>
      </c>
      <c r="AE407">
        <f t="shared" si="161"/>
        <v>0</v>
      </c>
    </row>
    <row r="408" spans="1:31" x14ac:dyDescent="0.2">
      <c r="A408" s="347">
        <v>37802.75</v>
      </c>
      <c r="B408" s="364">
        <f t="shared" si="181"/>
        <v>37.802750000000003</v>
      </c>
      <c r="C408" s="337">
        <f t="shared" si="162"/>
        <v>1.2282072616843427</v>
      </c>
      <c r="D408" s="338">
        <f t="shared" si="163"/>
        <v>0.61945529638916197</v>
      </c>
      <c r="E408" s="338">
        <f t="shared" si="164"/>
        <v>1.0000024924800701</v>
      </c>
      <c r="F408" s="339">
        <f t="shared" si="165"/>
        <v>2.2327001111626266E-3</v>
      </c>
      <c r="G408" s="338">
        <f t="shared" si="166"/>
        <v>1</v>
      </c>
      <c r="H408" s="339">
        <f t="shared" si="167"/>
        <v>0</v>
      </c>
      <c r="I408" s="337">
        <f t="shared" si="168"/>
        <v>410443.72756867687</v>
      </c>
      <c r="J408" s="340">
        <f t="shared" si="169"/>
        <v>1.5707938904073169</v>
      </c>
      <c r="K408" s="348">
        <f t="shared" si="185"/>
        <v>6.3385508223449865</v>
      </c>
      <c r="L408" s="349">
        <f t="shared" si="186"/>
        <v>1.4123696646521753</v>
      </c>
      <c r="M408" s="337">
        <f t="shared" si="170"/>
        <v>1.000656779095126</v>
      </c>
      <c r="N408" s="340">
        <f t="shared" si="171"/>
        <v>3.6233129338325551E-2</v>
      </c>
      <c r="O408" s="341">
        <f t="shared" si="172"/>
        <v>1.0003336077509377</v>
      </c>
      <c r="P408" s="342">
        <f t="shared" si="173"/>
        <v>5.7091074625683698E-2</v>
      </c>
      <c r="Q408" s="343">
        <f t="shared" si="174"/>
        <v>-0.59611078662153094</v>
      </c>
      <c r="R408" s="344">
        <f t="shared" si="175"/>
        <v>-49.788372365681148</v>
      </c>
      <c r="S408" s="346">
        <f t="shared" si="176"/>
        <v>130.21162763431886</v>
      </c>
      <c r="U408" s="319">
        <f t="shared" si="182"/>
        <v>37802.75</v>
      </c>
      <c r="V408" s="319">
        <f t="shared" si="183"/>
        <v>1429047907.5625</v>
      </c>
      <c r="X408" s="345">
        <f t="shared" si="177"/>
        <v>1.4762486366094143</v>
      </c>
      <c r="Y408" s="346">
        <f t="shared" si="178"/>
        <v>-11.153044910779277</v>
      </c>
      <c r="AA408" s="345">
        <f t="shared" si="179"/>
        <v>31.151269445701431</v>
      </c>
      <c r="AB408" s="346">
        <f t="shared" si="180"/>
        <v>-38.635327454901876</v>
      </c>
      <c r="AD408">
        <f t="shared" si="184"/>
        <v>0</v>
      </c>
      <c r="AE408">
        <f t="shared" si="161"/>
        <v>0</v>
      </c>
    </row>
    <row r="409" spans="1:31" x14ac:dyDescent="0.2">
      <c r="A409" s="347">
        <v>38019</v>
      </c>
      <c r="B409" s="364">
        <f t="shared" si="181"/>
        <v>38.018999999999998</v>
      </c>
      <c r="C409" s="337">
        <f t="shared" si="162"/>
        <v>1.230580094858323</v>
      </c>
      <c r="D409" s="338">
        <f t="shared" si="163"/>
        <v>0.62215424257353247</v>
      </c>
      <c r="E409" s="338">
        <f t="shared" si="164"/>
        <v>1.000002521077979</v>
      </c>
      <c r="F409" s="339">
        <f t="shared" si="165"/>
        <v>2.2454721920479002E-3</v>
      </c>
      <c r="G409" s="338">
        <f t="shared" si="166"/>
        <v>1</v>
      </c>
      <c r="H409" s="339">
        <f t="shared" si="167"/>
        <v>0</v>
      </c>
      <c r="I409" s="337">
        <f t="shared" si="168"/>
        <v>412791.66405705939</v>
      </c>
      <c r="J409" s="340">
        <f t="shared" si="169"/>
        <v>1.5707939042653567</v>
      </c>
      <c r="K409" s="348">
        <f t="shared" si="185"/>
        <v>6.3739104088678618</v>
      </c>
      <c r="L409" s="349">
        <f t="shared" si="186"/>
        <v>1.4132559094339396</v>
      </c>
      <c r="M409" s="337">
        <f t="shared" si="170"/>
        <v>1.0006643122738368</v>
      </c>
      <c r="N409" s="340">
        <f t="shared" si="171"/>
        <v>3.6440217430575239E-2</v>
      </c>
      <c r="O409" s="341">
        <f t="shared" si="172"/>
        <v>1.0003374445632456</v>
      </c>
      <c r="P409" s="342">
        <f t="shared" si="173"/>
        <v>5.7417801044638589E-2</v>
      </c>
      <c r="Q409" s="343">
        <f t="shared" si="174"/>
        <v>-0.61420009428475619</v>
      </c>
      <c r="R409" s="344">
        <f t="shared" si="175"/>
        <v>-49.922086831932432</v>
      </c>
      <c r="S409" s="346">
        <f t="shared" si="176"/>
        <v>130.07791316806757</v>
      </c>
      <c r="U409" s="319">
        <f t="shared" si="182"/>
        <v>38019</v>
      </c>
      <c r="V409" s="319">
        <f t="shared" si="183"/>
        <v>1445444361</v>
      </c>
      <c r="X409" s="345">
        <f t="shared" si="177"/>
        <v>1.4749568980670877</v>
      </c>
      <c r="Y409" s="346">
        <f t="shared" si="178"/>
        <v>-11.114132892804747</v>
      </c>
      <c r="AA409" s="345">
        <f t="shared" si="179"/>
        <v>31.134471876580534</v>
      </c>
      <c r="AB409" s="346">
        <f t="shared" si="180"/>
        <v>-38.807953939127707</v>
      </c>
      <c r="AD409">
        <f t="shared" si="184"/>
        <v>0</v>
      </c>
      <c r="AE409">
        <f t="shared" si="161"/>
        <v>0</v>
      </c>
    </row>
    <row r="410" spans="1:31" x14ac:dyDescent="0.2">
      <c r="A410" s="347">
        <v>38240.5</v>
      </c>
      <c r="B410" s="364">
        <f t="shared" si="181"/>
        <v>38.240499999999997</v>
      </c>
      <c r="C410" s="337">
        <f t="shared" si="162"/>
        <v>1.233019791146162</v>
      </c>
      <c r="D410" s="338">
        <f t="shared" si="163"/>
        <v>0.62490792259917383</v>
      </c>
      <c r="E410" s="338">
        <f t="shared" si="164"/>
        <v>1.0000025505392875</v>
      </c>
      <c r="F410" s="339">
        <f t="shared" si="165"/>
        <v>2.2585543458136419E-3</v>
      </c>
      <c r="G410" s="338">
        <f t="shared" si="166"/>
        <v>1</v>
      </c>
      <c r="H410" s="339">
        <f t="shared" si="167"/>
        <v>0</v>
      </c>
      <c r="I410" s="337">
        <f t="shared" si="168"/>
        <v>415196.60247174953</v>
      </c>
      <c r="J410" s="340">
        <f t="shared" si="169"/>
        <v>1.5707939182973463</v>
      </c>
      <c r="K410" s="348">
        <f t="shared" si="185"/>
        <v>6.4101335683069411</v>
      </c>
      <c r="L410" s="349">
        <f t="shared" si="186"/>
        <v>1.4141535329148536</v>
      </c>
      <c r="M410" s="337">
        <f t="shared" si="170"/>
        <v>1.000672072827665</v>
      </c>
      <c r="N410" s="340">
        <f t="shared" si="171"/>
        <v>3.6652329853219694E-2</v>
      </c>
      <c r="O410" s="341">
        <f t="shared" si="172"/>
        <v>1.0003413974286957</v>
      </c>
      <c r="P410" s="342">
        <f t="shared" si="173"/>
        <v>5.7752461989595494E-2</v>
      </c>
      <c r="Q410" s="343">
        <f t="shared" si="174"/>
        <v>-0.63273971990400102</v>
      </c>
      <c r="R410" s="344">
        <f t="shared" si="175"/>
        <v>-50.059010096729203</v>
      </c>
      <c r="S410" s="346">
        <f t="shared" si="176"/>
        <v>129.9409899032708</v>
      </c>
      <c r="U410" s="319">
        <f t="shared" si="182"/>
        <v>38240.5</v>
      </c>
      <c r="V410" s="319">
        <f t="shared" si="183"/>
        <v>1462335840.25</v>
      </c>
      <c r="X410" s="345">
        <f t="shared" si="177"/>
        <v>1.4736545705968371</v>
      </c>
      <c r="Y410" s="346">
        <f t="shared" si="178"/>
        <v>-11.074856806285258</v>
      </c>
      <c r="AA410" s="345">
        <f t="shared" si="179"/>
        <v>31.117234578431543</v>
      </c>
      <c r="AB410" s="346">
        <f t="shared" si="180"/>
        <v>-38.984153290443942</v>
      </c>
      <c r="AD410">
        <f t="shared" si="184"/>
        <v>0</v>
      </c>
      <c r="AE410">
        <f t="shared" ref="AE410:AE473" si="187">IF(AD410&gt;0,S410,0)</f>
        <v>0</v>
      </c>
    </row>
    <row r="411" spans="1:31" x14ac:dyDescent="0.2">
      <c r="A411" s="347">
        <v>38462</v>
      </c>
      <c r="B411" s="364">
        <f t="shared" si="181"/>
        <v>38.462000000000003</v>
      </c>
      <c r="C411" s="337">
        <f t="shared" si="162"/>
        <v>1.2354688001522121</v>
      </c>
      <c r="D411" s="338">
        <f t="shared" si="163"/>
        <v>0.62765070638531328</v>
      </c>
      <c r="E411" s="338">
        <f t="shared" si="164"/>
        <v>1.0000025801717392</v>
      </c>
      <c r="F411" s="339">
        <f t="shared" si="165"/>
        <v>2.2716364988063127E-3</v>
      </c>
      <c r="G411" s="338">
        <f t="shared" si="166"/>
        <v>1</v>
      </c>
      <c r="H411" s="339">
        <f t="shared" si="167"/>
        <v>0</v>
      </c>
      <c r="I411" s="337">
        <f t="shared" si="168"/>
        <v>417601.54088643973</v>
      </c>
      <c r="J411" s="340">
        <f t="shared" si="169"/>
        <v>1.5707939321677171</v>
      </c>
      <c r="K411" s="348">
        <f t="shared" si="185"/>
        <v>6.4463618345231817</v>
      </c>
      <c r="L411" s="349">
        <f t="shared" si="186"/>
        <v>1.4150410678962795</v>
      </c>
      <c r="M411" s="337">
        <f t="shared" si="170"/>
        <v>1.0006798784027116</v>
      </c>
      <c r="N411" s="340">
        <f t="shared" si="171"/>
        <v>3.6864438976338072E-2</v>
      </c>
      <c r="O411" s="341">
        <f t="shared" si="172"/>
        <v>1.0003453734777314</v>
      </c>
      <c r="P411" s="342">
        <f t="shared" si="173"/>
        <v>5.8087125417414086E-2</v>
      </c>
      <c r="Q411" s="343">
        <f t="shared" si="174"/>
        <v>-0.65129047042967225</v>
      </c>
      <c r="R411" s="344">
        <f t="shared" si="175"/>
        <v>-50.195887025424952</v>
      </c>
      <c r="S411" s="346">
        <f t="shared" si="176"/>
        <v>129.80411297457505</v>
      </c>
      <c r="U411" s="319">
        <f t="shared" si="182"/>
        <v>38462</v>
      </c>
      <c r="V411" s="319">
        <f t="shared" si="183"/>
        <v>1479325444</v>
      </c>
      <c r="X411" s="345">
        <f t="shared" si="177"/>
        <v>1.4723727853560931</v>
      </c>
      <c r="Y411" s="346">
        <f t="shared" si="178"/>
        <v>-11.036158549899728</v>
      </c>
      <c r="AA411" s="345">
        <f t="shared" si="179"/>
        <v>31.099965613146612</v>
      </c>
      <c r="AB411" s="346">
        <f t="shared" si="180"/>
        <v>-39.159728475525235</v>
      </c>
      <c r="AD411">
        <f t="shared" si="184"/>
        <v>0</v>
      </c>
      <c r="AE411">
        <f t="shared" si="187"/>
        <v>0</v>
      </c>
    </row>
    <row r="412" spans="1:31" x14ac:dyDescent="0.2">
      <c r="A412" s="347">
        <v>38683.5</v>
      </c>
      <c r="B412" s="364">
        <f t="shared" si="181"/>
        <v>38.683500000000002</v>
      </c>
      <c r="C412" s="337">
        <f t="shared" si="162"/>
        <v>1.2379270666060191</v>
      </c>
      <c r="D412" s="338">
        <f t="shared" si="163"/>
        <v>0.6303826174557009</v>
      </c>
      <c r="E412" s="338">
        <f t="shared" si="164"/>
        <v>1.0000026099753339</v>
      </c>
      <c r="F412" s="339">
        <f t="shared" si="165"/>
        <v>2.2847186510214332E-3</v>
      </c>
      <c r="G412" s="338">
        <f t="shared" si="166"/>
        <v>1</v>
      </c>
      <c r="H412" s="339">
        <f t="shared" si="167"/>
        <v>0</v>
      </c>
      <c r="I412" s="337">
        <f t="shared" si="168"/>
        <v>420006.47930112999</v>
      </c>
      <c r="J412" s="340">
        <f t="shared" si="169"/>
        <v>1.5707939458792459</v>
      </c>
      <c r="K412" s="348">
        <f t="shared" si="185"/>
        <v>6.4825951218982407</v>
      </c>
      <c r="L412" s="349">
        <f t="shared" si="186"/>
        <v>1.4159186821316128</v>
      </c>
      <c r="M412" s="337">
        <f t="shared" si="170"/>
        <v>1.0006877289979224</v>
      </c>
      <c r="N412" s="340">
        <f t="shared" si="171"/>
        <v>3.7076544780922108E-2</v>
      </c>
      <c r="O412" s="341">
        <f t="shared" si="172"/>
        <v>1.0003493727141899</v>
      </c>
      <c r="P412" s="342">
        <f t="shared" si="173"/>
        <v>5.842179134227684E-2</v>
      </c>
      <c r="Q412" s="343">
        <f t="shared" si="174"/>
        <v>-0.6698521722159807</v>
      </c>
      <c r="R412" s="344">
        <f t="shared" si="175"/>
        <v>-50.332709354152591</v>
      </c>
      <c r="S412" s="346">
        <f t="shared" si="176"/>
        <v>129.6672906458474</v>
      </c>
      <c r="U412" s="319">
        <f t="shared" si="182"/>
        <v>38683.5</v>
      </c>
      <c r="V412" s="319">
        <f t="shared" si="183"/>
        <v>1496413172.25</v>
      </c>
      <c r="X412" s="345">
        <f t="shared" si="177"/>
        <v>1.4711110738061968</v>
      </c>
      <c r="Y412" s="346">
        <f t="shared" si="178"/>
        <v>-10.998028511156573</v>
      </c>
      <c r="AA412" s="345">
        <f t="shared" si="179"/>
        <v>31.082665622910206</v>
      </c>
      <c r="AB412" s="346">
        <f t="shared" si="180"/>
        <v>-39.334680842996029</v>
      </c>
      <c r="AD412">
        <f t="shared" si="184"/>
        <v>0</v>
      </c>
      <c r="AE412">
        <f t="shared" si="187"/>
        <v>0</v>
      </c>
    </row>
    <row r="413" spans="1:31" x14ac:dyDescent="0.2">
      <c r="A413" s="347">
        <v>38905</v>
      </c>
      <c r="B413" s="364">
        <f t="shared" si="181"/>
        <v>38.905000000000001</v>
      </c>
      <c r="C413" s="337">
        <f t="shared" si="162"/>
        <v>1.2403945354671779</v>
      </c>
      <c r="D413" s="338">
        <f t="shared" si="163"/>
        <v>0.63310367979713167</v>
      </c>
      <c r="E413" s="338">
        <f t="shared" si="164"/>
        <v>1.0000026399500717</v>
      </c>
      <c r="F413" s="339">
        <f t="shared" si="165"/>
        <v>2.2978008024545273E-3</v>
      </c>
      <c r="G413" s="338">
        <f t="shared" si="166"/>
        <v>1</v>
      </c>
      <c r="H413" s="339">
        <f t="shared" si="167"/>
        <v>0</v>
      </c>
      <c r="I413" s="337">
        <f t="shared" si="168"/>
        <v>422411.41771582037</v>
      </c>
      <c r="J413" s="340">
        <f t="shared" si="169"/>
        <v>1.5707939594346454</v>
      </c>
      <c r="K413" s="348">
        <f t="shared" si="185"/>
        <v>6.5188333467055921</v>
      </c>
      <c r="L413" s="349">
        <f t="shared" si="186"/>
        <v>1.416786539705988</v>
      </c>
      <c r="M413" s="337">
        <f t="shared" si="170"/>
        <v>1.0006956246122383</v>
      </c>
      <c r="N413" s="340">
        <f t="shared" si="171"/>
        <v>3.7288647247965323E-2</v>
      </c>
      <c r="O413" s="341">
        <f t="shared" si="172"/>
        <v>1.0003533951419299</v>
      </c>
      <c r="P413" s="342">
        <f t="shared" si="173"/>
        <v>5.8756459778362739E-2</v>
      </c>
      <c r="Q413" s="343">
        <f t="shared" si="174"/>
        <v>-0.68842464413514759</v>
      </c>
      <c r="R413" s="344">
        <f t="shared" si="175"/>
        <v>-50.469469055747652</v>
      </c>
      <c r="S413" s="346">
        <f t="shared" si="176"/>
        <v>129.53053094425235</v>
      </c>
      <c r="U413" s="319">
        <f t="shared" si="182"/>
        <v>38905</v>
      </c>
      <c r="V413" s="319">
        <f t="shared" si="183"/>
        <v>1513599025</v>
      </c>
      <c r="X413" s="345">
        <f t="shared" si="177"/>
        <v>1.4698689803949916</v>
      </c>
      <c r="Y413" s="346">
        <f t="shared" si="178"/>
        <v>-10.960457287736558</v>
      </c>
      <c r="AA413" s="345">
        <f t="shared" si="179"/>
        <v>31.065335244402238</v>
      </c>
      <c r="AB413" s="346">
        <f t="shared" si="180"/>
        <v>-39.509011768011092</v>
      </c>
      <c r="AD413">
        <f t="shared" si="184"/>
        <v>0</v>
      </c>
      <c r="AE413">
        <f t="shared" si="187"/>
        <v>0</v>
      </c>
    </row>
    <row r="414" spans="1:31" x14ac:dyDescent="0.2">
      <c r="A414" s="347">
        <v>39131.5</v>
      </c>
      <c r="B414" s="364">
        <f t="shared" si="181"/>
        <v>39.131500000000003</v>
      </c>
      <c r="C414" s="337">
        <f t="shared" si="162"/>
        <v>1.2429271626421186</v>
      </c>
      <c r="D414" s="338">
        <f t="shared" si="163"/>
        <v>0.6358749723020769</v>
      </c>
      <c r="E414" s="338">
        <f t="shared" si="164"/>
        <v>1.0000026707784218</v>
      </c>
      <c r="F414" s="339">
        <f t="shared" si="165"/>
        <v>2.3111782612330106E-3</v>
      </c>
      <c r="G414" s="338">
        <f t="shared" si="166"/>
        <v>1</v>
      </c>
      <c r="H414" s="339">
        <f t="shared" si="167"/>
        <v>0</v>
      </c>
      <c r="I414" s="337">
        <f t="shared" si="168"/>
        <v>424870.64367937512</v>
      </c>
      <c r="J414" s="340">
        <f t="shared" si="169"/>
        <v>1.5707939731373426</v>
      </c>
      <c r="K414" s="348">
        <f t="shared" si="185"/>
        <v>6.5558946106970595</v>
      </c>
      <c r="L414" s="349">
        <f t="shared" si="186"/>
        <v>1.4176640654572576</v>
      </c>
      <c r="M414" s="337">
        <f t="shared" si="170"/>
        <v>1.0007037450109388</v>
      </c>
      <c r="N414" s="340">
        <f t="shared" si="171"/>
        <v>3.7505534109880438E-2</v>
      </c>
      <c r="O414" s="341">
        <f t="shared" si="172"/>
        <v>1.0003575323558844</v>
      </c>
      <c r="P414" s="342">
        <f t="shared" si="173"/>
        <v>5.9098685418347868E-2</v>
      </c>
      <c r="Q414" s="343">
        <f t="shared" si="174"/>
        <v>-0.70742730066097503</v>
      </c>
      <c r="R414" s="344">
        <f t="shared" si="175"/>
        <v>-50.609242998085151</v>
      </c>
      <c r="S414" s="346">
        <f t="shared" si="176"/>
        <v>129.39075700191484</v>
      </c>
      <c r="U414" s="319">
        <f t="shared" si="182"/>
        <v>39131.5</v>
      </c>
      <c r="V414" s="319">
        <f t="shared" si="183"/>
        <v>1531274292.25</v>
      </c>
      <c r="X414" s="345">
        <f t="shared" si="177"/>
        <v>1.4686186746845715</v>
      </c>
      <c r="Y414" s="346">
        <f t="shared" si="178"/>
        <v>-10.922606252657793</v>
      </c>
      <c r="AA414" s="345">
        <f t="shared" si="179"/>
        <v>31.047582893586835</v>
      </c>
      <c r="AB414" s="346">
        <f t="shared" si="180"/>
        <v>-39.68663674542735</v>
      </c>
      <c r="AD414">
        <f t="shared" si="184"/>
        <v>0</v>
      </c>
      <c r="AE414">
        <f t="shared" si="187"/>
        <v>0</v>
      </c>
    </row>
    <row r="415" spans="1:31" x14ac:dyDescent="0.2">
      <c r="A415" s="347">
        <v>39358</v>
      </c>
      <c r="B415" s="364">
        <f t="shared" si="181"/>
        <v>39.357999999999997</v>
      </c>
      <c r="C415" s="337">
        <f t="shared" si="162"/>
        <v>1.2454692967101821</v>
      </c>
      <c r="D415" s="338">
        <f t="shared" si="163"/>
        <v>0.63863497293204952</v>
      </c>
      <c r="E415" s="338">
        <f t="shared" si="164"/>
        <v>1.0000027017857289</v>
      </c>
      <c r="F415" s="339">
        <f t="shared" si="165"/>
        <v>2.3245557191842923E-3</v>
      </c>
      <c r="G415" s="338">
        <f t="shared" si="166"/>
        <v>1</v>
      </c>
      <c r="H415" s="339">
        <f t="shared" si="167"/>
        <v>0</v>
      </c>
      <c r="I415" s="337">
        <f t="shared" si="168"/>
        <v>427329.86964292999</v>
      </c>
      <c r="J415" s="340">
        <f t="shared" si="169"/>
        <v>1.5707939866823255</v>
      </c>
      <c r="K415" s="348">
        <f t="shared" si="185"/>
        <v>6.5929608663051251</v>
      </c>
      <c r="L415" s="349">
        <f t="shared" si="186"/>
        <v>1.4185317248032714</v>
      </c>
      <c r="M415" s="337">
        <f t="shared" si="170"/>
        <v>1.0007119124818893</v>
      </c>
      <c r="N415" s="340">
        <f t="shared" si="171"/>
        <v>3.7722417441683698E-2</v>
      </c>
      <c r="O415" s="341">
        <f t="shared" si="172"/>
        <v>1.0003616938281801</v>
      </c>
      <c r="P415" s="342">
        <f t="shared" si="173"/>
        <v>5.944091371418557E-2</v>
      </c>
      <c r="Q415" s="343">
        <f t="shared" si="174"/>
        <v>-0.72644081384781711</v>
      </c>
      <c r="R415" s="344">
        <f t="shared" si="175"/>
        <v>-50.748935207943646</v>
      </c>
      <c r="S415" s="346">
        <f t="shared" si="176"/>
        <v>129.25106479205635</v>
      </c>
      <c r="U415" s="319">
        <f t="shared" si="182"/>
        <v>39358</v>
      </c>
      <c r="V415" s="319">
        <f t="shared" si="183"/>
        <v>1549052164</v>
      </c>
      <c r="X415" s="345">
        <f t="shared" si="177"/>
        <v>1.4673879590882877</v>
      </c>
      <c r="Y415" s="346">
        <f t="shared" si="178"/>
        <v>-10.885320309662935</v>
      </c>
      <c r="AA415" s="345">
        <f t="shared" si="179"/>
        <v>31.029800095996272</v>
      </c>
      <c r="AB415" s="346">
        <f t="shared" si="180"/>
        <v>-39.863614898280694</v>
      </c>
      <c r="AD415">
        <f t="shared" si="184"/>
        <v>0</v>
      </c>
      <c r="AE415">
        <f t="shared" si="187"/>
        <v>0</v>
      </c>
    </row>
    <row r="416" spans="1:31" x14ac:dyDescent="0.2">
      <c r="A416" s="347">
        <v>39584.5</v>
      </c>
      <c r="B416" s="364">
        <f t="shared" si="181"/>
        <v>39.584499999999998</v>
      </c>
      <c r="C416" s="337">
        <f t="shared" si="162"/>
        <v>1.2480208795766767</v>
      </c>
      <c r="D416" s="338">
        <f t="shared" si="163"/>
        <v>0.64138370876857365</v>
      </c>
      <c r="E416" s="338">
        <f t="shared" si="164"/>
        <v>1.0000027329719927</v>
      </c>
      <c r="F416" s="339">
        <f t="shared" si="165"/>
        <v>2.3379331763035836E-3</v>
      </c>
      <c r="G416" s="338">
        <f t="shared" si="166"/>
        <v>1</v>
      </c>
      <c r="H416" s="339">
        <f t="shared" si="167"/>
        <v>0</v>
      </c>
      <c r="I416" s="337">
        <f t="shared" si="168"/>
        <v>429789.09560648497</v>
      </c>
      <c r="J416" s="340">
        <f t="shared" si="169"/>
        <v>1.5707940000723013</v>
      </c>
      <c r="K416" s="348">
        <f t="shared" si="185"/>
        <v>6.6300320298104944</v>
      </c>
      <c r="L416" s="349">
        <f t="shared" si="186"/>
        <v>1.4193896819276115</v>
      </c>
      <c r="M416" s="337">
        <f t="shared" si="170"/>
        <v>1.000720127023937</v>
      </c>
      <c r="N416" s="340">
        <f t="shared" si="171"/>
        <v>3.7939297223058097E-2</v>
      </c>
      <c r="O416" s="341">
        <f t="shared" si="172"/>
        <v>1.0003658795630141</v>
      </c>
      <c r="P416" s="342">
        <f t="shared" si="173"/>
        <v>5.9783144681025593E-2</v>
      </c>
      <c r="Q416" s="343">
        <f t="shared" si="174"/>
        <v>-0.74546496847427424</v>
      </c>
      <c r="R416" s="344">
        <f t="shared" si="175"/>
        <v>-50.88853782981311</v>
      </c>
      <c r="S416" s="346">
        <f t="shared" si="176"/>
        <v>129.11146217018688</v>
      </c>
      <c r="U416" s="319">
        <f t="shared" si="182"/>
        <v>39584.5</v>
      </c>
      <c r="V416" s="319">
        <f t="shared" si="183"/>
        <v>1566932640.25</v>
      </c>
      <c r="X416" s="345">
        <f t="shared" si="177"/>
        <v>1.4661763859000581</v>
      </c>
      <c r="Y416" s="346">
        <f t="shared" si="178"/>
        <v>-10.84859005071667</v>
      </c>
      <c r="AA416" s="345">
        <f t="shared" si="179"/>
        <v>31.011987514558047</v>
      </c>
      <c r="AB416" s="346">
        <f t="shared" si="180"/>
        <v>-40.039947779096444</v>
      </c>
      <c r="AD416">
        <f t="shared" si="184"/>
        <v>0</v>
      </c>
      <c r="AE416">
        <f t="shared" si="187"/>
        <v>0</v>
      </c>
    </row>
    <row r="417" spans="1:31" x14ac:dyDescent="0.2">
      <c r="A417" s="347">
        <v>39811</v>
      </c>
      <c r="B417" s="364">
        <f t="shared" si="181"/>
        <v>39.811</v>
      </c>
      <c r="C417" s="337">
        <f t="shared" si="162"/>
        <v>1.250581853405984</v>
      </c>
      <c r="D417" s="338">
        <f t="shared" si="163"/>
        <v>0.64412120735345846</v>
      </c>
      <c r="E417" s="338">
        <f t="shared" si="164"/>
        <v>1.0000027643372134</v>
      </c>
      <c r="F417" s="339">
        <f t="shared" si="165"/>
        <v>2.3513106325860982E-3</v>
      </c>
      <c r="G417" s="338">
        <f t="shared" si="166"/>
        <v>1</v>
      </c>
      <c r="H417" s="339">
        <f t="shared" si="167"/>
        <v>0</v>
      </c>
      <c r="I417" s="337">
        <f t="shared" si="168"/>
        <v>432248.32157003996</v>
      </c>
      <c r="J417" s="340">
        <f t="shared" si="169"/>
        <v>1.5707940133099156</v>
      </c>
      <c r="K417" s="348">
        <f t="shared" si="185"/>
        <v>6.667108019344929</v>
      </c>
      <c r="L417" s="349">
        <f t="shared" si="186"/>
        <v>1.4202380974196032</v>
      </c>
      <c r="M417" s="337">
        <f t="shared" si="170"/>
        <v>1.0007283886359226</v>
      </c>
      <c r="N417" s="340">
        <f t="shared" si="171"/>
        <v>3.8156173433688642E-2</v>
      </c>
      <c r="O417" s="341">
        <f t="shared" si="172"/>
        <v>1.0003700895646086</v>
      </c>
      <c r="P417" s="342">
        <f t="shared" si="173"/>
        <v>6.0125378334013817E-2</v>
      </c>
      <c r="Q417" s="343">
        <f t="shared" si="174"/>
        <v>-0.76449954291433475</v>
      </c>
      <c r="R417" s="344">
        <f t="shared" si="175"/>
        <v>-51.028043240488124</v>
      </c>
      <c r="S417" s="346">
        <f t="shared" si="176"/>
        <v>128.97195675951187</v>
      </c>
      <c r="U417" s="319">
        <f t="shared" si="182"/>
        <v>39811</v>
      </c>
      <c r="V417" s="319">
        <f t="shared" si="183"/>
        <v>1584915721</v>
      </c>
      <c r="X417" s="345">
        <f t="shared" si="177"/>
        <v>1.4649835198274515</v>
      </c>
      <c r="Y417" s="346">
        <f t="shared" si="178"/>
        <v>-10.812406273716038</v>
      </c>
      <c r="AA417" s="345">
        <f t="shared" si="179"/>
        <v>30.994145806190595</v>
      </c>
      <c r="AB417" s="346">
        <f t="shared" si="180"/>
        <v>-40.215636966772088</v>
      </c>
      <c r="AD417">
        <f t="shared" si="184"/>
        <v>0</v>
      </c>
      <c r="AE417">
        <f t="shared" si="187"/>
        <v>0</v>
      </c>
    </row>
    <row r="418" spans="1:31" x14ac:dyDescent="0.2">
      <c r="A418" s="347">
        <v>40042.75</v>
      </c>
      <c r="B418" s="364">
        <f t="shared" si="181"/>
        <v>40.042749999999998</v>
      </c>
      <c r="C418" s="337">
        <f t="shared" si="162"/>
        <v>1.2532118474974017</v>
      </c>
      <c r="D418" s="338">
        <f t="shared" si="163"/>
        <v>0.64691055612084369</v>
      </c>
      <c r="E418" s="338">
        <f t="shared" si="164"/>
        <v>1.0000027966146694</v>
      </c>
      <c r="F418" s="339">
        <f t="shared" si="165"/>
        <v>2.3649981614875153E-3</v>
      </c>
      <c r="G418" s="338">
        <f t="shared" si="166"/>
        <v>1</v>
      </c>
      <c r="H418" s="339">
        <f t="shared" si="167"/>
        <v>0</v>
      </c>
      <c r="I418" s="337">
        <f t="shared" si="168"/>
        <v>434764.54945990263</v>
      </c>
      <c r="J418" s="340">
        <f t="shared" si="169"/>
        <v>1.5707940266993592</v>
      </c>
      <c r="K418" s="348">
        <f t="shared" si="185"/>
        <v>6.7050482977353623</v>
      </c>
      <c r="L418" s="349">
        <f t="shared" si="186"/>
        <v>1.4210964660620387</v>
      </c>
      <c r="M418" s="337">
        <f t="shared" si="170"/>
        <v>1.0007368904601299</v>
      </c>
      <c r="N418" s="340">
        <f t="shared" si="171"/>
        <v>3.8378072859315118E-2</v>
      </c>
      <c r="O418" s="341">
        <f t="shared" si="172"/>
        <v>1.0003744222704414</v>
      </c>
      <c r="P418" s="342">
        <f t="shared" si="173"/>
        <v>6.0475547351173595E-2</v>
      </c>
      <c r="Q418" s="343">
        <f t="shared" si="174"/>
        <v>-0.78398586353344457</v>
      </c>
      <c r="R418" s="344">
        <f t="shared" si="175"/>
        <v>-51.170673889019263</v>
      </c>
      <c r="S418" s="346">
        <f t="shared" si="176"/>
        <v>128.82932611098073</v>
      </c>
      <c r="U418" s="319">
        <f t="shared" si="182"/>
        <v>40042.75</v>
      </c>
      <c r="V418" s="319">
        <f t="shared" si="183"/>
        <v>1603421827.5625</v>
      </c>
      <c r="X418" s="345">
        <f t="shared" si="177"/>
        <v>1.463781925662019</v>
      </c>
      <c r="Y418" s="346">
        <f t="shared" si="178"/>
        <v>-10.775940040919819</v>
      </c>
      <c r="AA418" s="345">
        <f t="shared" si="179"/>
        <v>30.975861079736916</v>
      </c>
      <c r="AB418" s="346">
        <f t="shared" si="180"/>
        <v>-40.394733848099413</v>
      </c>
      <c r="AD418">
        <f t="shared" si="184"/>
        <v>0</v>
      </c>
      <c r="AE418">
        <f t="shared" si="187"/>
        <v>0</v>
      </c>
    </row>
    <row r="419" spans="1:31" x14ac:dyDescent="0.2">
      <c r="A419" s="347">
        <v>40274.5</v>
      </c>
      <c r="B419" s="364">
        <f t="shared" si="181"/>
        <v>40.274500000000003</v>
      </c>
      <c r="C419" s="337">
        <f t="shared" si="162"/>
        <v>1.2558515512783863</v>
      </c>
      <c r="D419" s="338">
        <f t="shared" si="163"/>
        <v>0.64968820042910547</v>
      </c>
      <c r="E419" s="338">
        <f t="shared" si="164"/>
        <v>1.0000028290794745</v>
      </c>
      <c r="F419" s="339">
        <f t="shared" si="165"/>
        <v>2.3786856895027732E-3</v>
      </c>
      <c r="G419" s="338">
        <f t="shared" si="166"/>
        <v>1</v>
      </c>
      <c r="H419" s="339">
        <f t="shared" si="167"/>
        <v>0</v>
      </c>
      <c r="I419" s="337">
        <f t="shared" si="168"/>
        <v>437280.7773497653</v>
      </c>
      <c r="J419" s="340">
        <f t="shared" si="169"/>
        <v>1.5707940399347102</v>
      </c>
      <c r="K419" s="348">
        <f t="shared" si="185"/>
        <v>6.7429934607873925</v>
      </c>
      <c r="L419" s="349">
        <f t="shared" si="186"/>
        <v>1.4219451746477858</v>
      </c>
      <c r="M419" s="337">
        <f t="shared" si="170"/>
        <v>1.0007454415591375</v>
      </c>
      <c r="N419" s="340">
        <f t="shared" si="171"/>
        <v>3.8599968503726351E-2</v>
      </c>
      <c r="O419" s="341">
        <f t="shared" si="172"/>
        <v>1.0003787803900401</v>
      </c>
      <c r="P419" s="342">
        <f t="shared" si="173"/>
        <v>6.082571921251554E-2</v>
      </c>
      <c r="Q419" s="343">
        <f t="shared" si="174"/>
        <v>-0.8034826043729637</v>
      </c>
      <c r="R419" s="344">
        <f t="shared" si="175"/>
        <v>-51.313187339452931</v>
      </c>
      <c r="S419" s="346">
        <f t="shared" si="176"/>
        <v>128.68681266054708</v>
      </c>
      <c r="U419" s="319">
        <f t="shared" si="182"/>
        <v>40274.5</v>
      </c>
      <c r="V419" s="319">
        <f t="shared" si="183"/>
        <v>1622035350.25</v>
      </c>
      <c r="X419" s="345">
        <f t="shared" si="177"/>
        <v>1.4625990319564521</v>
      </c>
      <c r="Y419" s="346">
        <f t="shared" si="178"/>
        <v>-10.740027063125813</v>
      </c>
      <c r="AA419" s="345">
        <f t="shared" si="179"/>
        <v>30.957547232602963</v>
      </c>
      <c r="AB419" s="346">
        <f t="shared" si="180"/>
        <v>-40.57316027632713</v>
      </c>
      <c r="AD419">
        <f t="shared" si="184"/>
        <v>0</v>
      </c>
      <c r="AE419">
        <f t="shared" si="187"/>
        <v>0</v>
      </c>
    </row>
    <row r="420" spans="1:31" x14ac:dyDescent="0.2">
      <c r="A420" s="347">
        <v>40506.25</v>
      </c>
      <c r="B420" s="364">
        <f t="shared" si="181"/>
        <v>40.506250000000001</v>
      </c>
      <c r="C420" s="337">
        <f t="shared" si="162"/>
        <v>1.2585009036507613</v>
      </c>
      <c r="D420" s="338">
        <f t="shared" si="163"/>
        <v>0.65245417120243199</v>
      </c>
      <c r="E420" s="338">
        <f t="shared" si="164"/>
        <v>1.0000028617316283</v>
      </c>
      <c r="F420" s="339">
        <f t="shared" si="165"/>
        <v>2.3923732166267432E-3</v>
      </c>
      <c r="G420" s="338">
        <f t="shared" si="166"/>
        <v>1</v>
      </c>
      <c r="H420" s="339">
        <f t="shared" si="167"/>
        <v>0</v>
      </c>
      <c r="I420" s="337">
        <f t="shared" si="168"/>
        <v>439797.00523962814</v>
      </c>
      <c r="J420" s="340">
        <f t="shared" si="169"/>
        <v>1.5707940530186133</v>
      </c>
      <c r="K420" s="348">
        <f t="shared" si="185"/>
        <v>6.7809434264994755</v>
      </c>
      <c r="L420" s="349">
        <f t="shared" si="186"/>
        <v>1.4227843841331049</v>
      </c>
      <c r="M420" s="337">
        <f t="shared" si="170"/>
        <v>1.0007540419316823</v>
      </c>
      <c r="N420" s="340">
        <f t="shared" si="171"/>
        <v>3.8821860345168276E-2</v>
      </c>
      <c r="O420" s="341">
        <f t="shared" si="172"/>
        <v>1.0003831639280061</v>
      </c>
      <c r="P420" s="342">
        <f t="shared" si="173"/>
        <v>6.1175893934250589E-2</v>
      </c>
      <c r="Q420" s="343">
        <f t="shared" si="174"/>
        <v>-0.82298950979009189</v>
      </c>
      <c r="R420" s="344">
        <f t="shared" si="175"/>
        <v>-51.455576141334511</v>
      </c>
      <c r="S420" s="346">
        <f t="shared" si="176"/>
        <v>128.54442385866548</v>
      </c>
      <c r="U420" s="319">
        <f t="shared" si="182"/>
        <v>40506.25</v>
      </c>
      <c r="V420" s="319">
        <f t="shared" si="183"/>
        <v>1640756289.0625</v>
      </c>
      <c r="X420" s="345">
        <f t="shared" si="177"/>
        <v>1.4614344101787009</v>
      </c>
      <c r="Y420" s="346">
        <f t="shared" si="178"/>
        <v>-10.704658117124696</v>
      </c>
      <c r="AA420" s="345">
        <f t="shared" si="179"/>
        <v>30.939204948963589</v>
      </c>
      <c r="AB420" s="346">
        <f t="shared" si="180"/>
        <v>-40.750918024209803</v>
      </c>
      <c r="AD420">
        <f t="shared" si="184"/>
        <v>0</v>
      </c>
      <c r="AE420">
        <f t="shared" si="187"/>
        <v>0</v>
      </c>
    </row>
    <row r="421" spans="1:31" x14ac:dyDescent="0.2">
      <c r="A421" s="347">
        <v>40738</v>
      </c>
      <c r="B421" s="364">
        <f t="shared" si="181"/>
        <v>40.738</v>
      </c>
      <c r="C421" s="337">
        <f t="shared" si="162"/>
        <v>1.2611598438073619</v>
      </c>
      <c r="D421" s="338">
        <f t="shared" si="163"/>
        <v>0.65520849982011009</v>
      </c>
      <c r="E421" s="338">
        <f t="shared" si="164"/>
        <v>1.0000028945711312</v>
      </c>
      <c r="F421" s="339">
        <f t="shared" si="165"/>
        <v>2.4060607428542974E-3</v>
      </c>
      <c r="G421" s="338">
        <f t="shared" si="166"/>
        <v>1</v>
      </c>
      <c r="H421" s="339">
        <f t="shared" si="167"/>
        <v>0</v>
      </c>
      <c r="I421" s="337">
        <f t="shared" si="168"/>
        <v>442313.23312949104</v>
      </c>
      <c r="J421" s="340">
        <f t="shared" si="169"/>
        <v>1.5707940659536532</v>
      </c>
      <c r="K421" s="348">
        <f t="shared" si="185"/>
        <v>6.8188981146852887</v>
      </c>
      <c r="L421" s="349">
        <f t="shared" si="186"/>
        <v>1.4236142519448627</v>
      </c>
      <c r="M421" s="337">
        <f t="shared" si="170"/>
        <v>1.0007626915764942</v>
      </c>
      <c r="N421" s="340">
        <f t="shared" si="171"/>
        <v>3.9043748361889112E-2</v>
      </c>
      <c r="O421" s="341">
        <f t="shared" si="172"/>
        <v>1.0003875728889662</v>
      </c>
      <c r="P421" s="342">
        <f t="shared" si="173"/>
        <v>6.1526071532585463E-2</v>
      </c>
      <c r="Q421" s="343">
        <f t="shared" si="174"/>
        <v>-0.84250631880101823</v>
      </c>
      <c r="R421" s="344">
        <f t="shared" si="175"/>
        <v>-51.597833072500265</v>
      </c>
      <c r="S421" s="346">
        <f t="shared" si="176"/>
        <v>128.40216692749974</v>
      </c>
      <c r="U421" s="319">
        <f t="shared" si="182"/>
        <v>40738</v>
      </c>
      <c r="V421" s="319">
        <f t="shared" si="183"/>
        <v>1659584644</v>
      </c>
      <c r="X421" s="345">
        <f t="shared" si="177"/>
        <v>1.460287643689586</v>
      </c>
      <c r="Y421" s="346">
        <f t="shared" si="178"/>
        <v>-10.669824181923243</v>
      </c>
      <c r="AA421" s="345">
        <f t="shared" si="179"/>
        <v>30.920834906441776</v>
      </c>
      <c r="AB421" s="346">
        <f t="shared" si="180"/>
        <v>-40.928008890577019</v>
      </c>
      <c r="AD421">
        <f t="shared" si="184"/>
        <v>0</v>
      </c>
      <c r="AE421">
        <f t="shared" si="187"/>
        <v>0</v>
      </c>
    </row>
    <row r="422" spans="1:31" x14ac:dyDescent="0.2">
      <c r="A422" s="347">
        <v>40975.25</v>
      </c>
      <c r="B422" s="364">
        <f t="shared" si="181"/>
        <v>40.975250000000003</v>
      </c>
      <c r="C422" s="337">
        <f t="shared" si="162"/>
        <v>1.2638917557994147</v>
      </c>
      <c r="D422" s="338">
        <f t="shared" si="163"/>
        <v>0.65801616880758651</v>
      </c>
      <c r="E422" s="338">
        <f t="shared" si="164"/>
        <v>1.0000029283840677</v>
      </c>
      <c r="F422" s="339">
        <f t="shared" si="165"/>
        <v>2.4200731069580635E-3</v>
      </c>
      <c r="G422" s="338">
        <f t="shared" si="166"/>
        <v>1</v>
      </c>
      <c r="H422" s="339">
        <f t="shared" si="167"/>
        <v>0</v>
      </c>
      <c r="I422" s="337">
        <f t="shared" si="168"/>
        <v>444889.17732310476</v>
      </c>
      <c r="J422" s="340">
        <f t="shared" si="169"/>
        <v>1.5707940790441062</v>
      </c>
      <c r="K422" s="348">
        <f t="shared" si="185"/>
        <v>6.8577583714336567</v>
      </c>
      <c r="L422" s="349">
        <f t="shared" si="186"/>
        <v>1.4244542984734172</v>
      </c>
      <c r="M422" s="337">
        <f t="shared" si="170"/>
        <v>1.0007715975375828</v>
      </c>
      <c r="N422" s="340">
        <f t="shared" si="171"/>
        <v>3.9270898344722874E-2</v>
      </c>
      <c r="O422" s="341">
        <f t="shared" si="172"/>
        <v>1.0003921128254996</v>
      </c>
      <c r="P422" s="342">
        <f t="shared" si="173"/>
        <v>6.1884562707114121E-2</v>
      </c>
      <c r="Q422" s="343">
        <f t="shared" si="174"/>
        <v>-0.86249629114595872</v>
      </c>
      <c r="R422" s="344">
        <f t="shared" si="175"/>
        <v>-51.74332220256747</v>
      </c>
      <c r="S422" s="346">
        <f t="shared" si="176"/>
        <v>128.25667779743253</v>
      </c>
      <c r="U422" s="319">
        <f t="shared" si="182"/>
        <v>40975.25</v>
      </c>
      <c r="V422" s="319">
        <f t="shared" si="183"/>
        <v>1678971112.5625</v>
      </c>
      <c r="X422" s="345">
        <f t="shared" si="177"/>
        <v>1.4591317346150132</v>
      </c>
      <c r="Y422" s="346">
        <f t="shared" si="178"/>
        <v>-10.634708546562885</v>
      </c>
      <c r="AA422" s="345">
        <f t="shared" si="179"/>
        <v>30.902000843171407</v>
      </c>
      <c r="AB422" s="346">
        <f t="shared" si="180"/>
        <v>-41.108613656004586</v>
      </c>
      <c r="AD422">
        <f t="shared" si="184"/>
        <v>0</v>
      </c>
      <c r="AE422">
        <f t="shared" si="187"/>
        <v>0</v>
      </c>
    </row>
    <row r="423" spans="1:31" x14ac:dyDescent="0.2">
      <c r="A423" s="347">
        <v>41212.5</v>
      </c>
      <c r="B423" s="364">
        <f t="shared" si="181"/>
        <v>41.212499999999999</v>
      </c>
      <c r="C423" s="337">
        <f t="shared" si="162"/>
        <v>1.2666335880328601</v>
      </c>
      <c r="D423" s="338">
        <f t="shared" si="163"/>
        <v>0.66081170445028636</v>
      </c>
      <c r="E423" s="338">
        <f t="shared" si="164"/>
        <v>1.0000029623933511</v>
      </c>
      <c r="F423" s="339">
        <f t="shared" si="165"/>
        <v>2.4340854701114835E-3</v>
      </c>
      <c r="G423" s="338">
        <f t="shared" si="166"/>
        <v>1</v>
      </c>
      <c r="H423" s="339">
        <f t="shared" si="167"/>
        <v>0</v>
      </c>
      <c r="I423" s="337">
        <f t="shared" si="168"/>
        <v>447465.12151671859</v>
      </c>
      <c r="J423" s="340">
        <f t="shared" si="169"/>
        <v>1.5707940919838423</v>
      </c>
      <c r="K423" s="348">
        <f t="shared" si="185"/>
        <v>6.8966234130138302</v>
      </c>
      <c r="L423" s="349">
        <f t="shared" si="186"/>
        <v>1.4252848776324736</v>
      </c>
      <c r="M423" s="337">
        <f t="shared" si="170"/>
        <v>1.0007805551346778</v>
      </c>
      <c r="N423" s="340">
        <f t="shared" si="171"/>
        <v>3.9498044273014433E-2</v>
      </c>
      <c r="O423" s="341">
        <f t="shared" si="172"/>
        <v>1.000396679415946</v>
      </c>
      <c r="P423" s="342">
        <f t="shared" si="173"/>
        <v>6.2243056930759585E-2</v>
      </c>
      <c r="Q423" s="343">
        <f t="shared" si="174"/>
        <v>-0.88249607368236516</v>
      </c>
      <c r="R423" s="344">
        <f t="shared" si="175"/>
        <v>-51.88865851731515</v>
      </c>
      <c r="S423" s="346">
        <f t="shared" si="176"/>
        <v>128.11134148268485</v>
      </c>
      <c r="U423" s="319">
        <f t="shared" si="182"/>
        <v>41212.5</v>
      </c>
      <c r="V423" s="319">
        <f t="shared" si="183"/>
        <v>1698470156.25</v>
      </c>
      <c r="X423" s="345">
        <f t="shared" si="177"/>
        <v>1.4579936912328888</v>
      </c>
      <c r="Y423" s="346">
        <f t="shared" si="178"/>
        <v>-10.600135110574875</v>
      </c>
      <c r="AA423" s="345">
        <f t="shared" si="179"/>
        <v>30.883139104017125</v>
      </c>
      <c r="AB423" s="346">
        <f t="shared" si="180"/>
        <v>-41.288523406740268</v>
      </c>
      <c r="AD423">
        <f t="shared" si="184"/>
        <v>0</v>
      </c>
      <c r="AE423">
        <f t="shared" si="187"/>
        <v>0</v>
      </c>
    </row>
    <row r="424" spans="1:31" x14ac:dyDescent="0.2">
      <c r="A424" s="347">
        <v>41449.75</v>
      </c>
      <c r="B424" s="364">
        <f t="shared" si="181"/>
        <v>41.449750000000002</v>
      </c>
      <c r="C424" s="337">
        <f t="shared" si="162"/>
        <v>1.2693852762254725</v>
      </c>
      <c r="D424" s="338">
        <f t="shared" si="163"/>
        <v>0.66359514181818391</v>
      </c>
      <c r="E424" s="338">
        <f t="shared" si="164"/>
        <v>1.0000029965989812</v>
      </c>
      <c r="F424" s="339">
        <f t="shared" si="165"/>
        <v>2.4480978323090535E-3</v>
      </c>
      <c r="G424" s="338">
        <f t="shared" si="166"/>
        <v>1</v>
      </c>
      <c r="H424" s="339">
        <f t="shared" si="167"/>
        <v>0</v>
      </c>
      <c r="I424" s="337">
        <f t="shared" si="168"/>
        <v>450041.06571033248</v>
      </c>
      <c r="J424" s="340">
        <f t="shared" si="169"/>
        <v>1.5707941047754495</v>
      </c>
      <c r="K424" s="348">
        <f t="shared" si="185"/>
        <v>6.9354931589862447</v>
      </c>
      <c r="L424" s="349">
        <f t="shared" si="186"/>
        <v>1.4261061474450143</v>
      </c>
      <c r="M424" s="337">
        <f t="shared" si="170"/>
        <v>1.0007895643663927</v>
      </c>
      <c r="N424" s="340">
        <f t="shared" si="171"/>
        <v>3.9725186123433655E-2</v>
      </c>
      <c r="O424" s="341">
        <f t="shared" si="172"/>
        <v>1.0004012726653557</v>
      </c>
      <c r="P424" s="342">
        <f t="shared" si="173"/>
        <v>6.2601554220895764E-2</v>
      </c>
      <c r="Q424" s="343">
        <f t="shared" si="174"/>
        <v>-0.90250537143592491</v>
      </c>
      <c r="R424" s="344">
        <f t="shared" si="175"/>
        <v>-52.033834971862142</v>
      </c>
      <c r="S424" s="346">
        <f t="shared" si="176"/>
        <v>127.96616502813785</v>
      </c>
      <c r="U424" s="319">
        <f t="shared" si="182"/>
        <v>41449.75</v>
      </c>
      <c r="V424" s="319">
        <f t="shared" si="183"/>
        <v>1718081775.0625</v>
      </c>
      <c r="X424" s="345">
        <f t="shared" si="177"/>
        <v>1.4568731027493307</v>
      </c>
      <c r="Y424" s="346">
        <f t="shared" si="178"/>
        <v>-10.566094818720806</v>
      </c>
      <c r="AA424" s="345">
        <f t="shared" si="179"/>
        <v>30.864250394747124</v>
      </c>
      <c r="AB424" s="346">
        <f t="shared" si="180"/>
        <v>-41.467740153141335</v>
      </c>
      <c r="AD424">
        <f t="shared" si="184"/>
        <v>0</v>
      </c>
      <c r="AE424">
        <f t="shared" si="187"/>
        <v>0</v>
      </c>
    </row>
    <row r="425" spans="1:31" x14ac:dyDescent="0.2">
      <c r="A425" s="347">
        <v>41687</v>
      </c>
      <c r="B425" s="364">
        <f t="shared" si="181"/>
        <v>41.686999999999998</v>
      </c>
      <c r="C425" s="337">
        <f t="shared" si="162"/>
        <v>1.2721467564211264</v>
      </c>
      <c r="D425" s="338">
        <f t="shared" si="163"/>
        <v>0.6663665164282252</v>
      </c>
      <c r="E425" s="338">
        <f t="shared" si="164"/>
        <v>1.0000030310009584</v>
      </c>
      <c r="F425" s="339">
        <f t="shared" si="165"/>
        <v>2.4621101935452718E-3</v>
      </c>
      <c r="G425" s="338">
        <f t="shared" si="166"/>
        <v>1</v>
      </c>
      <c r="H425" s="339">
        <f t="shared" si="167"/>
        <v>0</v>
      </c>
      <c r="I425" s="337">
        <f t="shared" si="168"/>
        <v>452617.00990394643</v>
      </c>
      <c r="J425" s="340">
        <f t="shared" si="169"/>
        <v>1.570794117421457</v>
      </c>
      <c r="K425" s="348">
        <f t="shared" si="185"/>
        <v>6.974367530694936</v>
      </c>
      <c r="L425" s="349">
        <f t="shared" si="186"/>
        <v>1.4269182624616845</v>
      </c>
      <c r="M425" s="337">
        <f t="shared" si="170"/>
        <v>1.0007986252313326</v>
      </c>
      <c r="N425" s="340">
        <f t="shared" si="171"/>
        <v>3.9952323872652934E-2</v>
      </c>
      <c r="O425" s="341">
        <f t="shared" si="172"/>
        <v>1.0004058925788082</v>
      </c>
      <c r="P425" s="342">
        <f t="shared" si="173"/>
        <v>6.2960054594891707E-2</v>
      </c>
      <c r="Q425" s="343">
        <f t="shared" si="174"/>
        <v>-0.9225238851498998</v>
      </c>
      <c r="R425" s="344">
        <f t="shared" si="175"/>
        <v>-52.178844745883744</v>
      </c>
      <c r="S425" s="346">
        <f t="shared" si="176"/>
        <v>127.82115525411626</v>
      </c>
      <c r="U425" s="319">
        <f t="shared" si="182"/>
        <v>41687</v>
      </c>
      <c r="V425" s="319">
        <f t="shared" si="183"/>
        <v>1737805969</v>
      </c>
      <c r="X425" s="345">
        <f t="shared" si="177"/>
        <v>1.4557695697870396</v>
      </c>
      <c r="Y425" s="346">
        <f t="shared" si="178"/>
        <v>-10.532578814709339</v>
      </c>
      <c r="AA425" s="345">
        <f t="shared" si="179"/>
        <v>30.845335413995443</v>
      </c>
      <c r="AB425" s="346">
        <f t="shared" si="180"/>
        <v>-41.646265931174398</v>
      </c>
      <c r="AD425">
        <f t="shared" si="184"/>
        <v>0</v>
      </c>
      <c r="AE425">
        <f t="shared" si="187"/>
        <v>0</v>
      </c>
    </row>
    <row r="426" spans="1:31" x14ac:dyDescent="0.2">
      <c r="A426" s="347">
        <v>41929.75</v>
      </c>
      <c r="B426" s="364">
        <f t="shared" si="181"/>
        <v>41.929749999999999</v>
      </c>
      <c r="C426" s="337">
        <f t="shared" si="162"/>
        <v>1.2749823228419659</v>
      </c>
      <c r="D426" s="338">
        <f t="shared" si="163"/>
        <v>0.66918968990598116</v>
      </c>
      <c r="E426" s="338">
        <f t="shared" si="164"/>
        <v>1.0000030664036796</v>
      </c>
      <c r="F426" s="339">
        <f t="shared" si="165"/>
        <v>2.4764473925027318E-3</v>
      </c>
      <c r="G426" s="338">
        <f t="shared" si="166"/>
        <v>1</v>
      </c>
      <c r="H426" s="339">
        <f t="shared" si="167"/>
        <v>0</v>
      </c>
      <c r="I426" s="337">
        <f t="shared" si="168"/>
        <v>455252.6704013113</v>
      </c>
      <c r="J426" s="340">
        <f t="shared" si="169"/>
        <v>1.5707941302125039</v>
      </c>
      <c r="K426" s="348">
        <f t="shared" si="185"/>
        <v>7.0141478072506072</v>
      </c>
      <c r="L426" s="349">
        <f t="shared" si="186"/>
        <v>1.4277398862293598</v>
      </c>
      <c r="M426" s="337">
        <f t="shared" si="170"/>
        <v>1.0008079495890383</v>
      </c>
      <c r="N426" s="340">
        <f t="shared" si="171"/>
        <v>4.0184722927425913E-2</v>
      </c>
      <c r="O426" s="341">
        <f t="shared" si="172"/>
        <v>1.0004106471962046</v>
      </c>
      <c r="P426" s="342">
        <f t="shared" si="173"/>
        <v>6.3326869041124056E-2</v>
      </c>
      <c r="Q426" s="343">
        <f t="shared" si="174"/>
        <v>-0.94301569665278784</v>
      </c>
      <c r="R426" s="344">
        <f t="shared" si="175"/>
        <v>-52.327036773443886</v>
      </c>
      <c r="S426" s="346">
        <f t="shared" si="176"/>
        <v>127.67296322655611</v>
      </c>
      <c r="U426" s="319">
        <f t="shared" si="182"/>
        <v>41929.75</v>
      </c>
      <c r="V426" s="319">
        <f t="shared" si="183"/>
        <v>1758103935.0625</v>
      </c>
      <c r="X426" s="345">
        <f t="shared" si="177"/>
        <v>1.4546577025918781</v>
      </c>
      <c r="Y426" s="346">
        <f t="shared" si="178"/>
        <v>-10.49881945830966</v>
      </c>
      <c r="AA426" s="345">
        <f t="shared" si="179"/>
        <v>30.825955469687713</v>
      </c>
      <c r="AB426" s="346">
        <f t="shared" si="180"/>
        <v>-41.828217315134232</v>
      </c>
      <c r="AD426">
        <f t="shared" si="184"/>
        <v>0</v>
      </c>
      <c r="AE426">
        <f t="shared" si="187"/>
        <v>0</v>
      </c>
    </row>
    <row r="427" spans="1:31" x14ac:dyDescent="0.2">
      <c r="A427" s="347">
        <v>42172.5</v>
      </c>
      <c r="B427" s="364">
        <f t="shared" si="181"/>
        <v>42.172499999999999</v>
      </c>
      <c r="C427" s="337">
        <f t="shared" si="162"/>
        <v>1.2778280061180887</v>
      </c>
      <c r="D427" s="338">
        <f t="shared" si="163"/>
        <v>0.67200031146304273</v>
      </c>
      <c r="E427" s="338">
        <f t="shared" si="164"/>
        <v>1.0000031020119566</v>
      </c>
      <c r="F427" s="339">
        <f t="shared" si="165"/>
        <v>2.4907845904420952E-3</v>
      </c>
      <c r="G427" s="338">
        <f t="shared" si="166"/>
        <v>1</v>
      </c>
      <c r="H427" s="339">
        <f t="shared" si="167"/>
        <v>0</v>
      </c>
      <c r="I427" s="337">
        <f t="shared" si="168"/>
        <v>457888.33089867618</v>
      </c>
      <c r="J427" s="340">
        <f t="shared" si="169"/>
        <v>1.5707941428562973</v>
      </c>
      <c r="K427" s="348">
        <f t="shared" si="185"/>
        <v>7.0539327654087618</v>
      </c>
      <c r="L427" s="349">
        <f t="shared" si="186"/>
        <v>1.4285522424430965</v>
      </c>
      <c r="M427" s="337">
        <f t="shared" si="170"/>
        <v>1.0008173279986927</v>
      </c>
      <c r="N427" s="340">
        <f t="shared" si="171"/>
        <v>4.0417117639242973E-2</v>
      </c>
      <c r="O427" s="341">
        <f t="shared" si="172"/>
        <v>1.0004154297390935</v>
      </c>
      <c r="P427" s="342">
        <f t="shared" si="173"/>
        <v>6.369368675262857E-2</v>
      </c>
      <c r="Q427" s="343">
        <f t="shared" si="174"/>
        <v>-0.96351651031142227</v>
      </c>
      <c r="R427" s="344">
        <f t="shared" si="175"/>
        <v>-52.475040550524945</v>
      </c>
      <c r="S427" s="346">
        <f t="shared" si="176"/>
        <v>127.52495944947506</v>
      </c>
      <c r="U427" s="319">
        <f t="shared" si="182"/>
        <v>42172.5</v>
      </c>
      <c r="V427" s="319">
        <f t="shared" si="183"/>
        <v>1778519756.25</v>
      </c>
      <c r="X427" s="345">
        <f t="shared" si="177"/>
        <v>1.4535628799357414</v>
      </c>
      <c r="Y427" s="346">
        <f t="shared" si="178"/>
        <v>-10.465590836367616</v>
      </c>
      <c r="AA427" s="345">
        <f t="shared" si="179"/>
        <v>30.806549478685213</v>
      </c>
      <c r="AB427" s="346">
        <f t="shared" si="180"/>
        <v>-42.00944971415732</v>
      </c>
      <c r="AD427">
        <f t="shared" si="184"/>
        <v>0</v>
      </c>
      <c r="AE427">
        <f t="shared" si="187"/>
        <v>0</v>
      </c>
    </row>
    <row r="428" spans="1:31" x14ac:dyDescent="0.2">
      <c r="A428" s="347">
        <v>42415.25</v>
      </c>
      <c r="B428" s="364">
        <f t="shared" si="181"/>
        <v>42.41525</v>
      </c>
      <c r="C428" s="337">
        <f t="shared" si="162"/>
        <v>1.2806837388104444</v>
      </c>
      <c r="D428" s="338">
        <f t="shared" si="163"/>
        <v>0.67479842051287442</v>
      </c>
      <c r="E428" s="338">
        <f t="shared" si="164"/>
        <v>1.0000031378257896</v>
      </c>
      <c r="F428" s="339">
        <f t="shared" si="165"/>
        <v>2.5051217873574695E-3</v>
      </c>
      <c r="G428" s="338">
        <f t="shared" si="166"/>
        <v>1</v>
      </c>
      <c r="H428" s="339">
        <f t="shared" si="167"/>
        <v>0</v>
      </c>
      <c r="I428" s="337">
        <f t="shared" si="168"/>
        <v>460523.99139604118</v>
      </c>
      <c r="J428" s="340">
        <f t="shared" si="169"/>
        <v>1.5707941553553655</v>
      </c>
      <c r="K428" s="348">
        <f t="shared" si="185"/>
        <v>7.0937223263994609</v>
      </c>
      <c r="L428" s="349">
        <f t="shared" si="186"/>
        <v>1.4293554859701374</v>
      </c>
      <c r="M428" s="337">
        <f t="shared" si="170"/>
        <v>1.0008267604587759</v>
      </c>
      <c r="N428" s="340">
        <f t="shared" si="171"/>
        <v>4.0649507983124541E-2</v>
      </c>
      <c r="O428" s="341">
        <f t="shared" si="172"/>
        <v>1.0004202402130102</v>
      </c>
      <c r="P428" s="342">
        <f t="shared" si="173"/>
        <v>6.4060507747994475E-2</v>
      </c>
      <c r="Q428" s="343">
        <f t="shared" si="174"/>
        <v>-0.98402599393028489</v>
      </c>
      <c r="R428" s="344">
        <f t="shared" si="175"/>
        <v>-52.622849461891725</v>
      </c>
      <c r="S428" s="346">
        <f t="shared" si="176"/>
        <v>127.37715053810828</v>
      </c>
      <c r="U428" s="319">
        <f t="shared" si="182"/>
        <v>42415.25</v>
      </c>
      <c r="V428" s="319">
        <f t="shared" si="183"/>
        <v>1799053432.5625</v>
      </c>
      <c r="X428" s="345">
        <f t="shared" si="177"/>
        <v>1.4524847087164319</v>
      </c>
      <c r="Y428" s="346">
        <f t="shared" si="178"/>
        <v>-10.432884074357471</v>
      </c>
      <c r="AA428" s="345">
        <f t="shared" si="179"/>
        <v>30.787118166285662</v>
      </c>
      <c r="AB428" s="346">
        <f t="shared" si="180"/>
        <v>-42.189965387534258</v>
      </c>
      <c r="AD428">
        <f t="shared" si="184"/>
        <v>0</v>
      </c>
      <c r="AE428">
        <f t="shared" si="187"/>
        <v>0</v>
      </c>
    </row>
    <row r="429" spans="1:31" x14ac:dyDescent="0.2">
      <c r="A429" s="347">
        <v>42658</v>
      </c>
      <c r="B429" s="364">
        <f t="shared" si="181"/>
        <v>42.658000000000001</v>
      </c>
      <c r="C429" s="337">
        <f t="shared" si="162"/>
        <v>1.2835494538430527</v>
      </c>
      <c r="D429" s="338">
        <f t="shared" si="163"/>
        <v>0.67758405690252788</v>
      </c>
      <c r="E429" s="338">
        <f t="shared" si="164"/>
        <v>1.0000031738451785</v>
      </c>
      <c r="F429" s="339">
        <f t="shared" si="165"/>
        <v>2.5194589832429597E-3</v>
      </c>
      <c r="G429" s="338">
        <f t="shared" si="166"/>
        <v>1</v>
      </c>
      <c r="H429" s="339">
        <f t="shared" si="167"/>
        <v>0</v>
      </c>
      <c r="I429" s="337">
        <f t="shared" si="168"/>
        <v>463159.65189340629</v>
      </c>
      <c r="J429" s="340">
        <f t="shared" si="169"/>
        <v>1.5707941677121788</v>
      </c>
      <c r="K429" s="348">
        <f t="shared" si="185"/>
        <v>7.1335164132012165</v>
      </c>
      <c r="L429" s="349">
        <f t="shared" si="186"/>
        <v>1.4301497682696764</v>
      </c>
      <c r="M429" s="337">
        <f t="shared" si="170"/>
        <v>1.0008362469677601</v>
      </c>
      <c r="N429" s="340">
        <f t="shared" si="171"/>
        <v>4.0881893934093867E-2</v>
      </c>
      <c r="O429" s="341">
        <f t="shared" si="172"/>
        <v>1.000425078623522</v>
      </c>
      <c r="P429" s="342">
        <f t="shared" si="173"/>
        <v>6.4427332045805558E-2</v>
      </c>
      <c r="Q429" s="343">
        <f t="shared" si="174"/>
        <v>-1.0045438121048087</v>
      </c>
      <c r="R429" s="344">
        <f t="shared" si="175"/>
        <v>-52.770457112415144</v>
      </c>
      <c r="S429" s="346">
        <f t="shared" si="176"/>
        <v>127.22954288758486</v>
      </c>
      <c r="U429" s="319">
        <f t="shared" si="182"/>
        <v>42658</v>
      </c>
      <c r="V429" s="319">
        <f t="shared" si="183"/>
        <v>1819704964</v>
      </c>
      <c r="X429" s="345">
        <f t="shared" si="177"/>
        <v>1.4514228067656934</v>
      </c>
      <c r="Y429" s="346">
        <f t="shared" si="178"/>
        <v>-10.400690493017073</v>
      </c>
      <c r="AA429" s="345">
        <f t="shared" si="179"/>
        <v>30.767662250061882</v>
      </c>
      <c r="AB429" s="346">
        <f t="shared" si="180"/>
        <v>-42.369766619398057</v>
      </c>
      <c r="AD429">
        <f t="shared" si="184"/>
        <v>0</v>
      </c>
      <c r="AE429">
        <f t="shared" si="187"/>
        <v>0</v>
      </c>
    </row>
    <row r="430" spans="1:31" x14ac:dyDescent="0.2">
      <c r="A430" s="347">
        <v>42906.5</v>
      </c>
      <c r="B430" s="364">
        <f t="shared" si="181"/>
        <v>42.906500000000001</v>
      </c>
      <c r="C430" s="337">
        <f t="shared" si="162"/>
        <v>1.2864933190133301</v>
      </c>
      <c r="D430" s="338">
        <f t="shared" si="163"/>
        <v>0.68042279916361115</v>
      </c>
      <c r="E430" s="338">
        <f t="shared" si="164"/>
        <v>1.0000032109306727</v>
      </c>
      <c r="F430" s="339">
        <f t="shared" si="165"/>
        <v>2.5341357820775363E-3</v>
      </c>
      <c r="G430" s="338">
        <f t="shared" si="166"/>
        <v>1</v>
      </c>
      <c r="H430" s="339">
        <f t="shared" si="167"/>
        <v>0</v>
      </c>
      <c r="I430" s="337">
        <f t="shared" si="168"/>
        <v>465857.74307196541</v>
      </c>
      <c r="J430" s="340">
        <f t="shared" si="169"/>
        <v>1.5707941802168588</v>
      </c>
      <c r="K430" s="348">
        <f t="shared" si="185"/>
        <v>7.1742577086418011</v>
      </c>
      <c r="L430" s="349">
        <f t="shared" si="186"/>
        <v>1.4309537371742131</v>
      </c>
      <c r="M430" s="337">
        <f t="shared" si="170"/>
        <v>1.0008460141657671</v>
      </c>
      <c r="N430" s="340">
        <f t="shared" si="171"/>
        <v>4.1119779816356727E-2</v>
      </c>
      <c r="O430" s="341">
        <f t="shared" si="172"/>
        <v>1.0004300605839564</v>
      </c>
      <c r="P430" s="342">
        <f t="shared" si="173"/>
        <v>6.4802848721774123E-2</v>
      </c>
      <c r="Q430" s="343">
        <f t="shared" si="174"/>
        <v>-1.0255559140589907</v>
      </c>
      <c r="R430" s="344">
        <f t="shared" si="175"/>
        <v>-52.921346213747924</v>
      </c>
      <c r="S430" s="346">
        <f t="shared" si="176"/>
        <v>127.07865378625208</v>
      </c>
      <c r="U430" s="319">
        <f t="shared" si="182"/>
        <v>42906.5</v>
      </c>
      <c r="V430" s="319">
        <f t="shared" si="183"/>
        <v>1840967742.25</v>
      </c>
      <c r="X430" s="345">
        <f t="shared" si="177"/>
        <v>1.450352215634976</v>
      </c>
      <c r="Y430" s="346">
        <f t="shared" si="178"/>
        <v>-10.368257041415101</v>
      </c>
      <c r="AA430" s="345">
        <f t="shared" si="179"/>
        <v>30.74772073923841</v>
      </c>
      <c r="AB430" s="346">
        <f t="shared" si="180"/>
        <v>-42.553089172332825</v>
      </c>
      <c r="AD430">
        <f t="shared" si="184"/>
        <v>0</v>
      </c>
      <c r="AE430">
        <f t="shared" si="187"/>
        <v>0</v>
      </c>
    </row>
    <row r="431" spans="1:31" x14ac:dyDescent="0.2">
      <c r="A431" s="347">
        <v>43155</v>
      </c>
      <c r="B431" s="364">
        <f t="shared" si="181"/>
        <v>43.155000000000001</v>
      </c>
      <c r="C431" s="337">
        <f t="shared" si="162"/>
        <v>1.2894475039495741</v>
      </c>
      <c r="D431" s="338">
        <f t="shared" si="163"/>
        <v>0.68324855672488272</v>
      </c>
      <c r="E431" s="338">
        <f t="shared" si="164"/>
        <v>1.0000032482315759</v>
      </c>
      <c r="F431" s="339">
        <f t="shared" si="165"/>
        <v>2.5488125798203624E-3</v>
      </c>
      <c r="G431" s="338">
        <f t="shared" si="166"/>
        <v>1</v>
      </c>
      <c r="H431" s="339">
        <f t="shared" si="167"/>
        <v>0</v>
      </c>
      <c r="I431" s="337">
        <f t="shared" si="168"/>
        <v>468555.83425052464</v>
      </c>
      <c r="J431" s="340">
        <f t="shared" si="169"/>
        <v>1.5707941925775273</v>
      </c>
      <c r="K431" s="348">
        <f t="shared" si="185"/>
        <v>7.2150035889067619</v>
      </c>
      <c r="L431" s="349">
        <f t="shared" si="186"/>
        <v>1.4317486259489267</v>
      </c>
      <c r="M431" s="337">
        <f t="shared" si="170"/>
        <v>1.0008558380002357</v>
      </c>
      <c r="N431" s="340">
        <f t="shared" si="171"/>
        <v>4.1357661042174615E-2</v>
      </c>
      <c r="O431" s="341">
        <f t="shared" si="172"/>
        <v>1.000435071832033</v>
      </c>
      <c r="P431" s="342">
        <f t="shared" si="173"/>
        <v>6.5178368897883088E-2</v>
      </c>
      <c r="Q431" s="343">
        <f t="shared" si="174"/>
        <v>-1.0465760299181288</v>
      </c>
      <c r="R431" s="344">
        <f t="shared" si="175"/>
        <v>-53.072011525259214</v>
      </c>
      <c r="S431" s="346">
        <f t="shared" si="176"/>
        <v>126.92798847474079</v>
      </c>
      <c r="U431" s="319">
        <f t="shared" si="182"/>
        <v>43155</v>
      </c>
      <c r="V431" s="319">
        <f t="shared" si="183"/>
        <v>1862354025</v>
      </c>
      <c r="X431" s="345">
        <f t="shared" si="177"/>
        <v>1.4492978967345918</v>
      </c>
      <c r="Y431" s="346">
        <f t="shared" si="178"/>
        <v>-10.336343567884121</v>
      </c>
      <c r="AA431" s="345">
        <f t="shared" si="179"/>
        <v>30.72775494227966</v>
      </c>
      <c r="AB431" s="346">
        <f t="shared" si="180"/>
        <v>-42.735667957375114</v>
      </c>
      <c r="AD431">
        <f t="shared" si="184"/>
        <v>0</v>
      </c>
      <c r="AE431">
        <f t="shared" si="187"/>
        <v>0</v>
      </c>
    </row>
    <row r="432" spans="1:31" x14ac:dyDescent="0.2">
      <c r="A432" s="347">
        <v>43403.5</v>
      </c>
      <c r="B432" s="364">
        <f t="shared" si="181"/>
        <v>43.403500000000001</v>
      </c>
      <c r="C432" s="337">
        <f t="shared" si="162"/>
        <v>1.292411937885269</v>
      </c>
      <c r="D432" s="338">
        <f t="shared" si="163"/>
        <v>0.68606137365496012</v>
      </c>
      <c r="E432" s="338">
        <f t="shared" si="164"/>
        <v>1.0000032857478884</v>
      </c>
      <c r="F432" s="339">
        <f t="shared" si="165"/>
        <v>2.5634893764651147E-3</v>
      </c>
      <c r="G432" s="338">
        <f t="shared" si="166"/>
        <v>1</v>
      </c>
      <c r="H432" s="339">
        <f t="shared" si="167"/>
        <v>0</v>
      </c>
      <c r="I432" s="337">
        <f t="shared" si="168"/>
        <v>471253.92542908393</v>
      </c>
      <c r="J432" s="340">
        <f t="shared" si="169"/>
        <v>1.5707942047966574</v>
      </c>
      <c r="K432" s="348">
        <f t="shared" si="185"/>
        <v>7.2557539767555888</v>
      </c>
      <c r="L432" s="349">
        <f t="shared" si="186"/>
        <v>1.4325345865705732</v>
      </c>
      <c r="M432" s="337">
        <f t="shared" si="170"/>
        <v>1.0008657184694978</v>
      </c>
      <c r="N432" s="340">
        <f t="shared" si="171"/>
        <v>4.1595537584762844E-2</v>
      </c>
      <c r="O432" s="341">
        <f t="shared" si="172"/>
        <v>1.000440112373828</v>
      </c>
      <c r="P432" s="342">
        <f t="shared" si="173"/>
        <v>6.5553892594050436E-2</v>
      </c>
      <c r="Q432" s="343">
        <f t="shared" si="174"/>
        <v>-1.0676037915564012</v>
      </c>
      <c r="R432" s="344">
        <f t="shared" si="175"/>
        <v>-53.222446864016781</v>
      </c>
      <c r="S432" s="346">
        <f t="shared" si="176"/>
        <v>126.77755313598323</v>
      </c>
      <c r="U432" s="319">
        <f t="shared" si="182"/>
        <v>43403.5</v>
      </c>
      <c r="V432" s="319">
        <f t="shared" si="183"/>
        <v>1883863812.25</v>
      </c>
      <c r="X432" s="345">
        <f t="shared" si="177"/>
        <v>1.4482594733781451</v>
      </c>
      <c r="Y432" s="346">
        <f t="shared" si="178"/>
        <v>-10.304941363404467</v>
      </c>
      <c r="AA432" s="345">
        <f t="shared" si="179"/>
        <v>30.707765603997835</v>
      </c>
      <c r="AB432" s="346">
        <f t="shared" si="180"/>
        <v>-42.917505500612293</v>
      </c>
      <c r="AD432">
        <f t="shared" si="184"/>
        <v>0</v>
      </c>
      <c r="AE432">
        <f t="shared" si="187"/>
        <v>0</v>
      </c>
    </row>
    <row r="433" spans="1:31" x14ac:dyDescent="0.2">
      <c r="A433" s="347">
        <v>43652</v>
      </c>
      <c r="B433" s="364">
        <f t="shared" si="181"/>
        <v>43.652000000000001</v>
      </c>
      <c r="C433" s="337">
        <f t="shared" si="162"/>
        <v>1.2953865504572926</v>
      </c>
      <c r="D433" s="338">
        <f t="shared" si="163"/>
        <v>0.68886129443885258</v>
      </c>
      <c r="E433" s="338">
        <f t="shared" si="164"/>
        <v>1.0000033234796097</v>
      </c>
      <c r="F433" s="339">
        <f t="shared" si="165"/>
        <v>2.5781661720054709E-3</v>
      </c>
      <c r="G433" s="338">
        <f t="shared" si="166"/>
        <v>1</v>
      </c>
      <c r="H433" s="339">
        <f t="shared" si="167"/>
        <v>0</v>
      </c>
      <c r="I433" s="337">
        <f t="shared" si="168"/>
        <v>473952.01660764328</v>
      </c>
      <c r="J433" s="340">
        <f t="shared" si="169"/>
        <v>1.5707942168766666</v>
      </c>
      <c r="K433" s="348">
        <f t="shared" si="185"/>
        <v>7.2965087966648561</v>
      </c>
      <c r="L433" s="349">
        <f t="shared" si="186"/>
        <v>1.4333117676651184</v>
      </c>
      <c r="M433" s="337">
        <f t="shared" si="170"/>
        <v>1.0008756555718763</v>
      </c>
      <c r="N433" s="340">
        <f t="shared" si="171"/>
        <v>4.1833409417339915E-2</v>
      </c>
      <c r="O433" s="341">
        <f t="shared" si="172"/>
        <v>1.0004451822154525</v>
      </c>
      <c r="P433" s="342">
        <f t="shared" si="173"/>
        <v>6.5929419830187935E-2</v>
      </c>
      <c r="Q433" s="343">
        <f t="shared" si="174"/>
        <v>-1.0886388287100204</v>
      </c>
      <c r="R433" s="344">
        <f t="shared" si="175"/>
        <v>-53.372646262928519</v>
      </c>
      <c r="S433" s="346">
        <f t="shared" si="176"/>
        <v>126.62735373707147</v>
      </c>
      <c r="U433" s="319">
        <f t="shared" si="182"/>
        <v>43652</v>
      </c>
      <c r="V433" s="319">
        <f t="shared" si="183"/>
        <v>1905497104</v>
      </c>
      <c r="X433" s="345">
        <f t="shared" si="177"/>
        <v>1.4472365793699153</v>
      </c>
      <c r="Y433" s="346">
        <f t="shared" si="178"/>
        <v>-10.274041910939617</v>
      </c>
      <c r="AA433" s="345">
        <f t="shared" si="179"/>
        <v>30.687753460852445</v>
      </c>
      <c r="AB433" s="346">
        <f t="shared" si="180"/>
        <v>-43.09860435198889</v>
      </c>
      <c r="AD433">
        <f t="shared" si="184"/>
        <v>0</v>
      </c>
      <c r="AE433">
        <f t="shared" si="187"/>
        <v>0</v>
      </c>
    </row>
    <row r="434" spans="1:31" x14ac:dyDescent="0.2">
      <c r="A434" s="347">
        <v>43906</v>
      </c>
      <c r="B434" s="364">
        <f t="shared" si="181"/>
        <v>43.905999999999999</v>
      </c>
      <c r="C434" s="337">
        <f t="shared" si="162"/>
        <v>1.2984374457472261</v>
      </c>
      <c r="D434" s="338">
        <f t="shared" si="163"/>
        <v>0.6917099045864703</v>
      </c>
      <c r="E434" s="338">
        <f t="shared" si="164"/>
        <v>1.000003362269053</v>
      </c>
      <c r="F434" s="339">
        <f t="shared" si="165"/>
        <v>2.5931678049309985E-3</v>
      </c>
      <c r="G434" s="338">
        <f t="shared" si="166"/>
        <v>1</v>
      </c>
      <c r="H434" s="339">
        <f t="shared" si="167"/>
        <v>0</v>
      </c>
      <c r="I434" s="337">
        <f t="shared" si="168"/>
        <v>476709.82408995356</v>
      </c>
      <c r="J434" s="340">
        <f t="shared" si="169"/>
        <v>1.5707942290827257</v>
      </c>
      <c r="K434" s="348">
        <f t="shared" si="185"/>
        <v>7.3381701381306099</v>
      </c>
      <c r="L434" s="349">
        <f t="shared" si="186"/>
        <v>1.4340972281181998</v>
      </c>
      <c r="M434" s="337">
        <f t="shared" si="170"/>
        <v>1.0008858711355277</v>
      </c>
      <c r="N434" s="340">
        <f t="shared" si="171"/>
        <v>4.2076541123435847E-2</v>
      </c>
      <c r="O434" s="341">
        <f t="shared" si="172"/>
        <v>1.0004503945529863</v>
      </c>
      <c r="P434" s="342">
        <f t="shared" si="173"/>
        <v>6.6313262213412924E-2</v>
      </c>
      <c r="Q434" s="343">
        <f t="shared" si="174"/>
        <v>-1.1101465615236776</v>
      </c>
      <c r="R434" s="344">
        <f t="shared" si="175"/>
        <v>-53.525920171389672</v>
      </c>
      <c r="S434" s="346">
        <f t="shared" si="176"/>
        <v>126.47407982861033</v>
      </c>
      <c r="U434" s="319">
        <f t="shared" si="182"/>
        <v>43906</v>
      </c>
      <c r="V434" s="319">
        <f t="shared" si="183"/>
        <v>1927736836</v>
      </c>
      <c r="X434" s="345">
        <f t="shared" si="177"/>
        <v>1.4462067239519079</v>
      </c>
      <c r="Y434" s="346">
        <f t="shared" si="178"/>
        <v>-10.242969461948894</v>
      </c>
      <c r="AA434" s="345">
        <f t="shared" si="179"/>
        <v>30.667275583456796</v>
      </c>
      <c r="AB434" s="346">
        <f t="shared" si="180"/>
        <v>-43.282950709440762</v>
      </c>
      <c r="AD434">
        <f t="shared" si="184"/>
        <v>0</v>
      </c>
      <c r="AE434">
        <f t="shared" si="187"/>
        <v>0</v>
      </c>
    </row>
    <row r="435" spans="1:31" x14ac:dyDescent="0.2">
      <c r="A435" s="347">
        <v>44160</v>
      </c>
      <c r="B435" s="364">
        <f t="shared" si="181"/>
        <v>44.16</v>
      </c>
      <c r="C435" s="337">
        <f t="shared" si="162"/>
        <v>1.3014988278646538</v>
      </c>
      <c r="D435" s="338">
        <f t="shared" si="163"/>
        <v>0.69454513666425088</v>
      </c>
      <c r="E435" s="338">
        <f t="shared" si="164"/>
        <v>1.0000034012835459</v>
      </c>
      <c r="F435" s="339">
        <f t="shared" si="165"/>
        <v>2.608169436689344E-3</v>
      </c>
      <c r="G435" s="338">
        <f t="shared" si="166"/>
        <v>1</v>
      </c>
      <c r="H435" s="339">
        <f t="shared" si="167"/>
        <v>0</v>
      </c>
      <c r="I435" s="337">
        <f t="shared" si="168"/>
        <v>479467.6315722639</v>
      </c>
      <c r="J435" s="340">
        <f t="shared" si="169"/>
        <v>1.5707942411483709</v>
      </c>
      <c r="K435" s="348">
        <f t="shared" si="185"/>
        <v>7.3798359557495008</v>
      </c>
      <c r="L435" s="349">
        <f t="shared" si="186"/>
        <v>1.4348738197831736</v>
      </c>
      <c r="M435" s="337">
        <f t="shared" si="170"/>
        <v>1.0008961458633623</v>
      </c>
      <c r="N435" s="340">
        <f t="shared" si="171"/>
        <v>4.2319667852152611E-2</v>
      </c>
      <c r="O435" s="341">
        <f t="shared" si="172"/>
        <v>1.0004556375146987</v>
      </c>
      <c r="P435" s="342">
        <f t="shared" si="173"/>
        <v>6.669710833708771E-2</v>
      </c>
      <c r="Q435" s="343">
        <f t="shared" si="174"/>
        <v>-1.1316611077246117</v>
      </c>
      <c r="R435" s="344">
        <f t="shared" si="175"/>
        <v>-53.678935638189699</v>
      </c>
      <c r="S435" s="346">
        <f t="shared" si="176"/>
        <v>126.3210643618103</v>
      </c>
      <c r="U435" s="319">
        <f t="shared" si="182"/>
        <v>44160</v>
      </c>
      <c r="V435" s="319">
        <f t="shared" si="183"/>
        <v>1950105600</v>
      </c>
      <c r="X435" s="345">
        <f t="shared" si="177"/>
        <v>1.4451923513212495</v>
      </c>
      <c r="Y435" s="346">
        <f t="shared" si="178"/>
        <v>-10.212404863858776</v>
      </c>
      <c r="AA435" s="345">
        <f t="shared" si="179"/>
        <v>30.646775409886516</v>
      </c>
      <c r="AB435" s="346">
        <f t="shared" si="180"/>
        <v>-43.466530774330934</v>
      </c>
      <c r="AD435">
        <f t="shared" si="184"/>
        <v>0</v>
      </c>
      <c r="AE435">
        <f t="shared" si="187"/>
        <v>0</v>
      </c>
    </row>
    <row r="436" spans="1:31" x14ac:dyDescent="0.2">
      <c r="A436" s="347">
        <v>44414</v>
      </c>
      <c r="B436" s="364">
        <f t="shared" si="181"/>
        <v>44.414000000000001</v>
      </c>
      <c r="C436" s="337">
        <f t="shared" si="162"/>
        <v>1.3045706229825604</v>
      </c>
      <c r="D436" s="338">
        <f t="shared" si="163"/>
        <v>0.69736703943137857</v>
      </c>
      <c r="E436" s="338">
        <f t="shared" si="164"/>
        <v>1.0000034405230884</v>
      </c>
      <c r="F436" s="339">
        <f t="shared" si="165"/>
        <v>2.6231710672737557E-3</v>
      </c>
      <c r="G436" s="338">
        <f t="shared" si="166"/>
        <v>1</v>
      </c>
      <c r="H436" s="339">
        <f t="shared" si="167"/>
        <v>0</v>
      </c>
      <c r="I436" s="337">
        <f t="shared" si="168"/>
        <v>482225.43905457424</v>
      </c>
      <c r="J436" s="340">
        <f t="shared" si="169"/>
        <v>1.5707942530760113</v>
      </c>
      <c r="K436" s="348">
        <f t="shared" si="185"/>
        <v>7.4215061741314745</v>
      </c>
      <c r="L436" s="349">
        <f t="shared" si="186"/>
        <v>1.4356416911045644</v>
      </c>
      <c r="M436" s="337">
        <f t="shared" si="170"/>
        <v>1.0009064797535581</v>
      </c>
      <c r="N436" s="340">
        <f t="shared" si="171"/>
        <v>4.2562789574901207E-2</v>
      </c>
      <c r="O436" s="341">
        <f t="shared" si="172"/>
        <v>1.0004609111072285</v>
      </c>
      <c r="P436" s="342">
        <f t="shared" si="173"/>
        <v>6.7080958222455578E-2</v>
      </c>
      <c r="Q436" s="343">
        <f t="shared" si="174"/>
        <v>-1.1531820669595381</v>
      </c>
      <c r="R436" s="344">
        <f t="shared" si="175"/>
        <v>-53.831686951496877</v>
      </c>
      <c r="S436" s="346">
        <f t="shared" si="176"/>
        <v>126.16831304850312</v>
      </c>
      <c r="U436" s="319">
        <f t="shared" si="182"/>
        <v>44414</v>
      </c>
      <c r="V436" s="319">
        <f t="shared" si="183"/>
        <v>1972603396</v>
      </c>
      <c r="X436" s="345">
        <f t="shared" si="177"/>
        <v>1.4441931021918584</v>
      </c>
      <c r="Y436" s="346">
        <f t="shared" si="178"/>
        <v>-10.182339609924492</v>
      </c>
      <c r="AA436" s="345">
        <f t="shared" si="179"/>
        <v>30.626253699780985</v>
      </c>
      <c r="AB436" s="346">
        <f t="shared" si="180"/>
        <v>-43.649347341572387</v>
      </c>
      <c r="AD436">
        <f t="shared" si="184"/>
        <v>0</v>
      </c>
      <c r="AE436">
        <f t="shared" si="187"/>
        <v>0</v>
      </c>
    </row>
    <row r="437" spans="1:31" x14ac:dyDescent="0.2">
      <c r="A437" s="347">
        <v>44668</v>
      </c>
      <c r="B437" s="364">
        <f t="shared" si="181"/>
        <v>44.667999999999999</v>
      </c>
      <c r="C437" s="337">
        <f t="shared" si="162"/>
        <v>1.3076527577176957</v>
      </c>
      <c r="D437" s="338">
        <f t="shared" si="163"/>
        <v>0.70017566203880843</v>
      </c>
      <c r="E437" s="338">
        <f t="shared" si="164"/>
        <v>1.0000034799876807</v>
      </c>
      <c r="F437" s="339">
        <f t="shared" si="165"/>
        <v>2.6381726966774807E-3</v>
      </c>
      <c r="G437" s="338">
        <f t="shared" si="166"/>
        <v>1</v>
      </c>
      <c r="H437" s="339">
        <f t="shared" si="167"/>
        <v>0</v>
      </c>
      <c r="I437" s="337">
        <f t="shared" si="168"/>
        <v>484983.24653688475</v>
      </c>
      <c r="J437" s="340">
        <f t="shared" si="169"/>
        <v>1.5707942648680009</v>
      </c>
      <c r="K437" s="348">
        <f t="shared" si="185"/>
        <v>7.4631807195623487</v>
      </c>
      <c r="L437" s="349">
        <f t="shared" si="186"/>
        <v>1.4364009872528898</v>
      </c>
      <c r="M437" s="337">
        <f t="shared" si="170"/>
        <v>1.0009168728042828</v>
      </c>
      <c r="N437" s="340">
        <f t="shared" si="171"/>
        <v>4.2805906263096154E-2</v>
      </c>
      <c r="O437" s="341">
        <f t="shared" si="172"/>
        <v>1.0004662153372526</v>
      </c>
      <c r="P437" s="342">
        <f t="shared" si="173"/>
        <v>6.7464811890752999E-2</v>
      </c>
      <c r="Q437" s="343">
        <f t="shared" si="174"/>
        <v>-1.1747090378185465</v>
      </c>
      <c r="R437" s="344">
        <f t="shared" si="175"/>
        <v>-53.984168609509688</v>
      </c>
      <c r="S437" s="346">
        <f t="shared" si="176"/>
        <v>126.01583139049032</v>
      </c>
      <c r="U437" s="319">
        <f t="shared" si="182"/>
        <v>44668</v>
      </c>
      <c r="V437" s="319">
        <f t="shared" si="183"/>
        <v>1995230224</v>
      </c>
      <c r="X437" s="345">
        <f t="shared" si="177"/>
        <v>1.4432086272811675</v>
      </c>
      <c r="Y437" s="346">
        <f t="shared" si="178"/>
        <v>-10.152765380985118</v>
      </c>
      <c r="AA437" s="345">
        <f t="shared" si="179"/>
        <v>30.605711203832669</v>
      </c>
      <c r="AB437" s="346">
        <f t="shared" si="180"/>
        <v>-43.831403228524586</v>
      </c>
      <c r="AD437">
        <f t="shared" si="184"/>
        <v>0</v>
      </c>
      <c r="AE437">
        <f t="shared" si="187"/>
        <v>0</v>
      </c>
    </row>
    <row r="438" spans="1:31" x14ac:dyDescent="0.2">
      <c r="A438" s="347">
        <v>44928.25</v>
      </c>
      <c r="B438" s="364">
        <f t="shared" si="181"/>
        <v>44.928249999999998</v>
      </c>
      <c r="C438" s="337">
        <f t="shared" si="162"/>
        <v>1.3108213804885596</v>
      </c>
      <c r="D438" s="338">
        <f t="shared" si="163"/>
        <v>0.70303967190527572</v>
      </c>
      <c r="E438" s="338">
        <f t="shared" si="164"/>
        <v>1.0000035206567748</v>
      </c>
      <c r="F438" s="339">
        <f t="shared" si="165"/>
        <v>2.6535434594313076E-3</v>
      </c>
      <c r="G438" s="338">
        <f t="shared" si="166"/>
        <v>1</v>
      </c>
      <c r="H438" s="339">
        <f t="shared" si="167"/>
        <v>0</v>
      </c>
      <c r="I438" s="337">
        <f t="shared" si="168"/>
        <v>487808.9134552757</v>
      </c>
      <c r="J438" s="340">
        <f t="shared" si="169"/>
        <v>1.5707942768118552</v>
      </c>
      <c r="K438" s="348">
        <f t="shared" si="185"/>
        <v>7.5058851340256609</v>
      </c>
      <c r="L438" s="349">
        <f t="shared" si="186"/>
        <v>1.4371702210526396</v>
      </c>
      <c r="M438" s="337">
        <f t="shared" si="170"/>
        <v>1.0009275829496174</v>
      </c>
      <c r="N438" s="340">
        <f t="shared" si="171"/>
        <v>4.3054999901475412E-2</v>
      </c>
      <c r="O438" s="341">
        <f t="shared" si="172"/>
        <v>1.0004716818693524</v>
      </c>
      <c r="P438" s="342">
        <f t="shared" si="173"/>
        <v>6.7858114723167218E-2</v>
      </c>
      <c r="Q438" s="343">
        <f t="shared" si="174"/>
        <v>-1.1967715225206557</v>
      </c>
      <c r="R438" s="344">
        <f t="shared" si="175"/>
        <v>-54.140117048385143</v>
      </c>
      <c r="S438" s="346">
        <f t="shared" si="176"/>
        <v>125.85988295161485</v>
      </c>
      <c r="U438" s="319">
        <f t="shared" si="182"/>
        <v>44928.25</v>
      </c>
      <c r="V438" s="319">
        <f t="shared" si="183"/>
        <v>2018547648.0625</v>
      </c>
      <c r="X438" s="345">
        <f t="shared" si="177"/>
        <v>1.4422148970092439</v>
      </c>
      <c r="Y438" s="346">
        <f t="shared" si="178"/>
        <v>-10.122964229281722</v>
      </c>
      <c r="AA438" s="345">
        <f t="shared" si="179"/>
        <v>30.58464244940248</v>
      </c>
      <c r="AB438" s="346">
        <f t="shared" si="180"/>
        <v>-44.017152819103416</v>
      </c>
      <c r="AD438">
        <f t="shared" si="184"/>
        <v>0</v>
      </c>
      <c r="AE438">
        <f t="shared" si="187"/>
        <v>0</v>
      </c>
    </row>
    <row r="439" spans="1:31" x14ac:dyDescent="0.2">
      <c r="A439" s="347">
        <v>45188.5</v>
      </c>
      <c r="B439" s="364">
        <f t="shared" si="181"/>
        <v>45.188499999999998</v>
      </c>
      <c r="C439" s="337">
        <f t="shared" si="162"/>
        <v>1.3140007034335155</v>
      </c>
      <c r="D439" s="338">
        <f t="shared" si="163"/>
        <v>0.70588984568439239</v>
      </c>
      <c r="E439" s="338">
        <f t="shared" si="164"/>
        <v>1.0000035615621299</v>
      </c>
      <c r="F439" s="339">
        <f t="shared" si="165"/>
        <v>2.6689142209312777E-3</v>
      </c>
      <c r="G439" s="338">
        <f t="shared" si="166"/>
        <v>1</v>
      </c>
      <c r="H439" s="339">
        <f t="shared" si="167"/>
        <v>0</v>
      </c>
      <c r="I439" s="337">
        <f t="shared" si="168"/>
        <v>490634.58037366683</v>
      </c>
      <c r="J439" s="340">
        <f t="shared" si="169"/>
        <v>1.5707942886181354</v>
      </c>
      <c r="K439" s="348">
        <f t="shared" si="185"/>
        <v>7.5485939396223651</v>
      </c>
      <c r="L439" s="349">
        <f t="shared" si="186"/>
        <v>1.4379307508806194</v>
      </c>
      <c r="M439" s="337">
        <f t="shared" si="170"/>
        <v>1.0009383551988156</v>
      </c>
      <c r="N439" s="340">
        <f t="shared" si="171"/>
        <v>4.3304088193743283E-2</v>
      </c>
      <c r="O439" s="341">
        <f t="shared" si="172"/>
        <v>1.0004771805795625</v>
      </c>
      <c r="P439" s="342">
        <f t="shared" si="173"/>
        <v>6.8251421572084511E-2</v>
      </c>
      <c r="Q439" s="343">
        <f t="shared" si="174"/>
        <v>-1.2188394629659818</v>
      </c>
      <c r="R439" s="344">
        <f t="shared" si="175"/>
        <v>-54.295771354705984</v>
      </c>
      <c r="S439" s="346">
        <f t="shared" si="176"/>
        <v>125.70422864529402</v>
      </c>
      <c r="U439" s="319">
        <f t="shared" si="182"/>
        <v>45188.5</v>
      </c>
      <c r="V439" s="319">
        <f t="shared" si="183"/>
        <v>2042000532.25</v>
      </c>
      <c r="X439" s="345">
        <f t="shared" si="177"/>
        <v>1.441235965369442</v>
      </c>
      <c r="Y439" s="346">
        <f t="shared" si="178"/>
        <v>-10.093661464234282</v>
      </c>
      <c r="AA439" s="345">
        <f t="shared" si="179"/>
        <v>30.563553440596959</v>
      </c>
      <c r="AB439" s="346">
        <f t="shared" si="180"/>
        <v>-44.202109890471696</v>
      </c>
      <c r="AD439">
        <f t="shared" si="184"/>
        <v>0</v>
      </c>
      <c r="AE439">
        <f t="shared" si="187"/>
        <v>0</v>
      </c>
    </row>
    <row r="440" spans="1:31" x14ac:dyDescent="0.2">
      <c r="A440" s="347">
        <v>45448.75</v>
      </c>
      <c r="B440" s="364">
        <f t="shared" si="181"/>
        <v>45.448749999999997</v>
      </c>
      <c r="C440" s="337">
        <f t="shared" si="162"/>
        <v>1.3171906490710508</v>
      </c>
      <c r="D440" s="338">
        <f t="shared" si="163"/>
        <v>0.70872623742586738</v>
      </c>
      <c r="E440" s="338">
        <f t="shared" si="164"/>
        <v>1.0000036027037462</v>
      </c>
      <c r="F440" s="339">
        <f t="shared" si="165"/>
        <v>2.6842849811701277E-3</v>
      </c>
      <c r="G440" s="338">
        <f t="shared" si="166"/>
        <v>1</v>
      </c>
      <c r="H440" s="339">
        <f t="shared" si="167"/>
        <v>0</v>
      </c>
      <c r="I440" s="337">
        <f t="shared" si="168"/>
        <v>493460.24729205796</v>
      </c>
      <c r="J440" s="340">
        <f t="shared" si="169"/>
        <v>1.5707943002892044</v>
      </c>
      <c r="K440" s="348">
        <f t="shared" si="185"/>
        <v>7.5913070622387178</v>
      </c>
      <c r="L440" s="349">
        <f t="shared" si="186"/>
        <v>1.4386827227704004</v>
      </c>
      <c r="M440" s="337">
        <f t="shared" si="170"/>
        <v>1.0009491895498723</v>
      </c>
      <c r="N440" s="340">
        <f t="shared" si="171"/>
        <v>4.3553171109163548E-2</v>
      </c>
      <c r="O440" s="341">
        <f t="shared" si="172"/>
        <v>1.0004827114751886</v>
      </c>
      <c r="P440" s="342">
        <f t="shared" si="173"/>
        <v>6.8644732460325306E-2</v>
      </c>
      <c r="Q440" s="343">
        <f t="shared" si="174"/>
        <v>-1.2409124257443647</v>
      </c>
      <c r="R440" s="344">
        <f t="shared" si="175"/>
        <v>-54.451126257867379</v>
      </c>
      <c r="S440" s="346">
        <f t="shared" si="176"/>
        <v>125.54887374213263</v>
      </c>
      <c r="U440" s="319">
        <f t="shared" si="182"/>
        <v>45448.75</v>
      </c>
      <c r="V440" s="319">
        <f t="shared" si="183"/>
        <v>2065588876.5625</v>
      </c>
      <c r="X440" s="345">
        <f t="shared" si="177"/>
        <v>1.4402714872033309</v>
      </c>
      <c r="Y440" s="346">
        <f t="shared" si="178"/>
        <v>-10.064848717109818</v>
      </c>
      <c r="AA440" s="345">
        <f t="shared" si="179"/>
        <v>30.542444955984681</v>
      </c>
      <c r="AB440" s="346">
        <f t="shared" si="180"/>
        <v>-44.386277540757568</v>
      </c>
      <c r="AD440">
        <f t="shared" si="184"/>
        <v>0</v>
      </c>
      <c r="AE440">
        <f t="shared" si="187"/>
        <v>0</v>
      </c>
    </row>
    <row r="441" spans="1:31" x14ac:dyDescent="0.2">
      <c r="A441" s="347">
        <v>45709</v>
      </c>
      <c r="B441" s="364">
        <f t="shared" si="181"/>
        <v>45.709000000000003</v>
      </c>
      <c r="C441" s="337">
        <f t="shared" si="162"/>
        <v>1.3203911404107722</v>
      </c>
      <c r="D441" s="338">
        <f t="shared" si="163"/>
        <v>0.71154890154499784</v>
      </c>
      <c r="E441" s="338">
        <f t="shared" si="164"/>
        <v>1.0000036440816238</v>
      </c>
      <c r="F441" s="339">
        <f t="shared" si="165"/>
        <v>2.6996557401405951E-3</v>
      </c>
      <c r="G441" s="338">
        <f t="shared" si="166"/>
        <v>1</v>
      </c>
      <c r="H441" s="339">
        <f t="shared" si="167"/>
        <v>0</v>
      </c>
      <c r="I441" s="337">
        <f t="shared" si="168"/>
        <v>496285.91421044915</v>
      </c>
      <c r="J441" s="340">
        <f t="shared" si="169"/>
        <v>1.5707943118273722</v>
      </c>
      <c r="K441" s="348">
        <f t="shared" si="185"/>
        <v>7.6340244294122641</v>
      </c>
      <c r="L441" s="349">
        <f t="shared" si="186"/>
        <v>1.4394262795261519</v>
      </c>
      <c r="M441" s="337">
        <f t="shared" si="170"/>
        <v>1.0009600860007712</v>
      </c>
      <c r="N441" s="340">
        <f t="shared" si="171"/>
        <v>4.3802248617003929E-2</v>
      </c>
      <c r="O441" s="341">
        <f t="shared" si="172"/>
        <v>1.0004882745635799</v>
      </c>
      <c r="P441" s="342">
        <f t="shared" si="173"/>
        <v>6.9038047410702338E-2</v>
      </c>
      <c r="Q441" s="343">
        <f t="shared" si="174"/>
        <v>-1.2629899774599811</v>
      </c>
      <c r="R441" s="344">
        <f t="shared" si="175"/>
        <v>-54.606176693239028</v>
      </c>
      <c r="S441" s="346">
        <f t="shared" si="176"/>
        <v>125.39382330676096</v>
      </c>
      <c r="U441" s="319">
        <f t="shared" si="182"/>
        <v>45709</v>
      </c>
      <c r="V441" s="319">
        <f t="shared" si="183"/>
        <v>2089312681</v>
      </c>
      <c r="X441" s="345">
        <f t="shared" si="177"/>
        <v>1.4393211269827597</v>
      </c>
      <c r="Y441" s="346">
        <f t="shared" si="178"/>
        <v>-10.036517804203664</v>
      </c>
      <c r="AA441" s="345">
        <f t="shared" si="179"/>
        <v>30.521317764489638</v>
      </c>
      <c r="AB441" s="346">
        <f t="shared" si="180"/>
        <v>-44.569658889035374</v>
      </c>
      <c r="AD441">
        <f t="shared" si="184"/>
        <v>0</v>
      </c>
      <c r="AE441">
        <f t="shared" si="187"/>
        <v>0</v>
      </c>
    </row>
    <row r="442" spans="1:31" x14ac:dyDescent="0.2">
      <c r="A442" s="347">
        <v>45975.25</v>
      </c>
      <c r="B442" s="364">
        <f t="shared" si="181"/>
        <v>45.975250000000003</v>
      </c>
      <c r="C442" s="337">
        <f t="shared" si="162"/>
        <v>1.3236762517217551</v>
      </c>
      <c r="D442" s="338">
        <f t="shared" si="163"/>
        <v>0.71442249260375135</v>
      </c>
      <c r="E442" s="338">
        <f t="shared" si="164"/>
        <v>1.0000036866579523</v>
      </c>
      <c r="F442" s="339">
        <f t="shared" si="165"/>
        <v>2.7153808668737979E-3</v>
      </c>
      <c r="G442" s="338">
        <f t="shared" si="166"/>
        <v>1</v>
      </c>
      <c r="H442" s="339">
        <f t="shared" si="167"/>
        <v>0</v>
      </c>
      <c r="I442" s="337">
        <f t="shared" si="168"/>
        <v>499176.72618747764</v>
      </c>
      <c r="J442" s="340">
        <f t="shared" si="169"/>
        <v>1.5707943234963702</v>
      </c>
      <c r="K442" s="348">
        <f t="shared" si="185"/>
        <v>7.677730953613179</v>
      </c>
      <c r="L442" s="349">
        <f t="shared" si="186"/>
        <v>1.4401784160392537</v>
      </c>
      <c r="M442" s="337">
        <f t="shared" si="170"/>
        <v>1.0009712979284522</v>
      </c>
      <c r="N442" s="340">
        <f t="shared" si="171"/>
        <v>4.4057062917708306E-2</v>
      </c>
      <c r="O442" s="341">
        <f t="shared" si="172"/>
        <v>1.0004939992299335</v>
      </c>
      <c r="P442" s="342">
        <f t="shared" si="173"/>
        <v>6.9440434368389203E-2</v>
      </c>
      <c r="Q442" s="343">
        <f t="shared" si="174"/>
        <v>-1.2855808189196216</v>
      </c>
      <c r="R442" s="344">
        <f t="shared" si="175"/>
        <v>-54.764481628901315</v>
      </c>
      <c r="S442" s="346">
        <f t="shared" si="176"/>
        <v>125.23551837109869</v>
      </c>
      <c r="U442" s="319">
        <f t="shared" si="182"/>
        <v>45975.25</v>
      </c>
      <c r="V442" s="319">
        <f t="shared" si="183"/>
        <v>2113723612.5625</v>
      </c>
      <c r="X442" s="345">
        <f t="shared" si="177"/>
        <v>1.4383631262408842</v>
      </c>
      <c r="Y442" s="346">
        <f t="shared" si="178"/>
        <v>-10.008024008926961</v>
      </c>
      <c r="AA442" s="345">
        <f t="shared" si="179"/>
        <v>30.499684923771877</v>
      </c>
      <c r="AB442" s="346">
        <f t="shared" si="180"/>
        <v>-44.756457619974377</v>
      </c>
      <c r="AD442">
        <f t="shared" si="184"/>
        <v>0</v>
      </c>
      <c r="AE442">
        <f t="shared" si="187"/>
        <v>0</v>
      </c>
    </row>
    <row r="443" spans="1:31" x14ac:dyDescent="0.2">
      <c r="A443" s="347">
        <v>46241.5</v>
      </c>
      <c r="B443" s="364">
        <f t="shared" si="181"/>
        <v>46.241500000000002</v>
      </c>
      <c r="C443" s="337">
        <f t="shared" si="162"/>
        <v>1.326972239151714</v>
      </c>
      <c r="D443" s="338">
        <f t="shared" si="163"/>
        <v>0.71728183209219465</v>
      </c>
      <c r="E443" s="338">
        <f t="shared" si="164"/>
        <v>1.0000037294815614</v>
      </c>
      <c r="F443" s="339">
        <f t="shared" si="165"/>
        <v>2.731105992264081E-3</v>
      </c>
      <c r="G443" s="338">
        <f t="shared" si="166"/>
        <v>1</v>
      </c>
      <c r="H443" s="339">
        <f t="shared" si="167"/>
        <v>0</v>
      </c>
      <c r="I443" s="337">
        <f t="shared" si="168"/>
        <v>502067.53816450626</v>
      </c>
      <c r="J443" s="340">
        <f t="shared" si="169"/>
        <v>1.5707943350309923</v>
      </c>
      <c r="K443" s="348">
        <f t="shared" si="185"/>
        <v>7.7214417720062967</v>
      </c>
      <c r="L443" s="349">
        <f t="shared" si="186"/>
        <v>1.440922037330798</v>
      </c>
      <c r="M443" s="337">
        <f t="shared" si="170"/>
        <v>1.0009825748480692</v>
      </c>
      <c r="N443" s="340">
        <f t="shared" si="171"/>
        <v>4.4311871493557753E-2</v>
      </c>
      <c r="O443" s="341">
        <f t="shared" si="172"/>
        <v>1.0004997576062509</v>
      </c>
      <c r="P443" s="342">
        <f t="shared" si="173"/>
        <v>6.9842825625953522E-2</v>
      </c>
      <c r="Q443" s="343">
        <f t="shared" si="174"/>
        <v>-1.3081755468288856</v>
      </c>
      <c r="R443" s="344">
        <f t="shared" si="175"/>
        <v>-54.922457806722477</v>
      </c>
      <c r="S443" s="346">
        <f t="shared" si="176"/>
        <v>125.07754219327752</v>
      </c>
      <c r="U443" s="319">
        <f t="shared" si="182"/>
        <v>46241.5</v>
      </c>
      <c r="V443" s="319">
        <f t="shared" si="183"/>
        <v>2138276322.25</v>
      </c>
      <c r="X443" s="345">
        <f t="shared" si="177"/>
        <v>1.4374192209674361</v>
      </c>
      <c r="Y443" s="346">
        <f t="shared" si="178"/>
        <v>-9.9800177641984735</v>
      </c>
      <c r="AA443" s="345">
        <f t="shared" si="179"/>
        <v>30.478034101136057</v>
      </c>
      <c r="AB443" s="346">
        <f t="shared" si="180"/>
        <v>-44.942440042524012</v>
      </c>
      <c r="AD443">
        <f t="shared" si="184"/>
        <v>0</v>
      </c>
      <c r="AE443">
        <f t="shared" si="187"/>
        <v>0</v>
      </c>
    </row>
    <row r="444" spans="1:31" x14ac:dyDescent="0.2">
      <c r="A444" s="347">
        <v>46507.75</v>
      </c>
      <c r="B444" s="364">
        <f t="shared" si="181"/>
        <v>46.507750000000001</v>
      </c>
      <c r="C444" s="337">
        <f t="shared" si="162"/>
        <v>1.3302790218584726</v>
      </c>
      <c r="D444" s="338">
        <f t="shared" si="163"/>
        <v>0.72012697936070169</v>
      </c>
      <c r="E444" s="338">
        <f t="shared" si="164"/>
        <v>1.0000037725524509</v>
      </c>
      <c r="F444" s="339">
        <f t="shared" si="165"/>
        <v>2.7468311163036676E-3</v>
      </c>
      <c r="G444" s="338">
        <f t="shared" si="166"/>
        <v>1</v>
      </c>
      <c r="H444" s="339">
        <f t="shared" si="167"/>
        <v>0</v>
      </c>
      <c r="I444" s="337">
        <f t="shared" si="168"/>
        <v>504958.35014153493</v>
      </c>
      <c r="J444" s="340">
        <f t="shared" si="169"/>
        <v>1.5707943464335465</v>
      </c>
      <c r="K444" s="348">
        <f t="shared" si="185"/>
        <v>7.7651568120743475</v>
      </c>
      <c r="L444" s="349">
        <f t="shared" si="186"/>
        <v>1.4416572863842614</v>
      </c>
      <c r="M444" s="337">
        <f t="shared" si="170"/>
        <v>1.000993916757426</v>
      </c>
      <c r="N444" s="340">
        <f t="shared" si="171"/>
        <v>4.4566674311658207E-2</v>
      </c>
      <c r="O444" s="341">
        <f t="shared" si="172"/>
        <v>1.0005055497005371</v>
      </c>
      <c r="P444" s="342">
        <f t="shared" si="173"/>
        <v>7.0245221207797082E-2</v>
      </c>
      <c r="Q444" s="343">
        <f t="shared" si="174"/>
        <v>-1.3307736988237862</v>
      </c>
      <c r="R444" s="344">
        <f t="shared" si="175"/>
        <v>-55.080100434524795</v>
      </c>
      <c r="S444" s="346">
        <f t="shared" si="176"/>
        <v>124.91989956547521</v>
      </c>
      <c r="U444" s="319">
        <f t="shared" si="182"/>
        <v>46507.75</v>
      </c>
      <c r="V444" s="319">
        <f t="shared" si="183"/>
        <v>2162970810.0625</v>
      </c>
      <c r="X444" s="345">
        <f t="shared" si="177"/>
        <v>1.4364890811373063</v>
      </c>
      <c r="Y444" s="346">
        <f t="shared" si="178"/>
        <v>-9.9524908759160091</v>
      </c>
      <c r="AA444" s="345">
        <f t="shared" si="179"/>
        <v>30.456366088971286</v>
      </c>
      <c r="AB444" s="346">
        <f t="shared" si="180"/>
        <v>-45.127609558608782</v>
      </c>
      <c r="AD444">
        <f t="shared" si="184"/>
        <v>0</v>
      </c>
      <c r="AE444">
        <f t="shared" si="187"/>
        <v>0</v>
      </c>
    </row>
    <row r="445" spans="1:31" x14ac:dyDescent="0.2">
      <c r="A445" s="347">
        <v>46774</v>
      </c>
      <c r="B445" s="364">
        <f t="shared" si="181"/>
        <v>46.774000000000001</v>
      </c>
      <c r="C445" s="337">
        <f t="shared" si="162"/>
        <v>1.3335965195382062</v>
      </c>
      <c r="D445" s="338">
        <f t="shared" si="163"/>
        <v>0.72295799409103245</v>
      </c>
      <c r="E445" s="338">
        <f t="shared" si="164"/>
        <v>1.0000038158706208</v>
      </c>
      <c r="F445" s="339">
        <f t="shared" si="165"/>
        <v>2.7625562389847805E-3</v>
      </c>
      <c r="G445" s="338">
        <f t="shared" si="166"/>
        <v>1</v>
      </c>
      <c r="H445" s="339">
        <f t="shared" si="167"/>
        <v>0</v>
      </c>
      <c r="I445" s="337">
        <f t="shared" si="168"/>
        <v>507849.16211856372</v>
      </c>
      <c r="J445" s="340">
        <f t="shared" si="169"/>
        <v>1.5707943577062879</v>
      </c>
      <c r="K445" s="348">
        <f t="shared" si="185"/>
        <v>7.8088760029169801</v>
      </c>
      <c r="L445" s="349">
        <f t="shared" si="186"/>
        <v>1.4423843030177348</v>
      </c>
      <c r="M445" s="337">
        <f t="shared" si="170"/>
        <v>1.0010053236543131</v>
      </c>
      <c r="N445" s="340">
        <f t="shared" si="171"/>
        <v>4.4821471339120067E-2</v>
      </c>
      <c r="O445" s="341">
        <f t="shared" si="172"/>
        <v>1.000511375520843</v>
      </c>
      <c r="P445" s="342">
        <f t="shared" si="173"/>
        <v>7.0647621138313035E-2</v>
      </c>
      <c r="Q445" s="343">
        <f t="shared" si="174"/>
        <v>-1.3533748136271715</v>
      </c>
      <c r="R445" s="344">
        <f t="shared" si="175"/>
        <v>-55.237404920477545</v>
      </c>
      <c r="S445" s="346">
        <f t="shared" si="176"/>
        <v>124.76259507952246</v>
      </c>
      <c r="U445" s="319">
        <f t="shared" si="182"/>
        <v>46774</v>
      </c>
      <c r="V445" s="319">
        <f t="shared" si="183"/>
        <v>2187807076</v>
      </c>
      <c r="X445" s="345">
        <f t="shared" si="177"/>
        <v>1.4355723859385139</v>
      </c>
      <c r="Y445" s="346">
        <f t="shared" si="178"/>
        <v>-9.9254353313378036</v>
      </c>
      <c r="AA445" s="345">
        <f t="shared" si="179"/>
        <v>30.434681669366697</v>
      </c>
      <c r="AB445" s="346">
        <f t="shared" si="180"/>
        <v>-45.311969589139736</v>
      </c>
      <c r="AD445">
        <f t="shared" si="184"/>
        <v>0</v>
      </c>
      <c r="AE445">
        <f t="shared" si="187"/>
        <v>0</v>
      </c>
    </row>
    <row r="446" spans="1:31" x14ac:dyDescent="0.2">
      <c r="A446" s="347">
        <v>47046.25</v>
      </c>
      <c r="B446" s="364">
        <f t="shared" si="181"/>
        <v>47.046250000000001</v>
      </c>
      <c r="C446" s="337">
        <f t="shared" si="162"/>
        <v>1.3369997745203448</v>
      </c>
      <c r="D446" s="338">
        <f t="shared" si="163"/>
        <v>0.7258382549976935</v>
      </c>
      <c r="E446" s="338">
        <f t="shared" si="164"/>
        <v>1.0000038604206769</v>
      </c>
      <c r="F446" s="339">
        <f t="shared" si="165"/>
        <v>2.7786357292148801E-3</v>
      </c>
      <c r="G446" s="338">
        <f t="shared" si="166"/>
        <v>1</v>
      </c>
      <c r="H446" s="339">
        <f t="shared" si="167"/>
        <v>0</v>
      </c>
      <c r="I446" s="337">
        <f t="shared" si="168"/>
        <v>510805.11915422976</v>
      </c>
      <c r="J446" s="340">
        <f t="shared" si="169"/>
        <v>1.5707943691011255</v>
      </c>
      <c r="K446" s="348">
        <f t="shared" si="185"/>
        <v>7.8535846348794704</v>
      </c>
      <c r="L446" s="349">
        <f t="shared" si="186"/>
        <v>1.4431193327759746</v>
      </c>
      <c r="M446" s="337">
        <f t="shared" si="170"/>
        <v>1.0010170548065103</v>
      </c>
      <c r="N446" s="340">
        <f t="shared" si="171"/>
        <v>4.5082004249316826E-2</v>
      </c>
      <c r="O446" s="341">
        <f t="shared" si="172"/>
        <v>1.0005173675102945</v>
      </c>
      <c r="P446" s="342">
        <f t="shared" si="173"/>
        <v>7.1059093758455566E-2</v>
      </c>
      <c r="Q446" s="343">
        <f t="shared" si="174"/>
        <v>-1.3764878338566569</v>
      </c>
      <c r="R446" s="344">
        <f t="shared" si="175"/>
        <v>-55.397900058192569</v>
      </c>
      <c r="S446" s="346">
        <f t="shared" si="176"/>
        <v>124.60209994180744</v>
      </c>
      <c r="U446" s="319">
        <f t="shared" si="182"/>
        <v>47046.25</v>
      </c>
      <c r="V446" s="319">
        <f t="shared" si="183"/>
        <v>2213349639.0625</v>
      </c>
      <c r="X446" s="345">
        <f t="shared" si="177"/>
        <v>1.4346486104321101</v>
      </c>
      <c r="Y446" s="346">
        <f t="shared" si="178"/>
        <v>-9.8982493173977115</v>
      </c>
      <c r="AA446" s="345">
        <f t="shared" si="179"/>
        <v>30.412492424643617</v>
      </c>
      <c r="AB446" s="346">
        <f t="shared" si="180"/>
        <v>-45.499650740794841</v>
      </c>
      <c r="AD446">
        <f t="shared" si="184"/>
        <v>0</v>
      </c>
      <c r="AE446">
        <f t="shared" si="187"/>
        <v>0</v>
      </c>
    </row>
    <row r="447" spans="1:31" x14ac:dyDescent="0.2">
      <c r="A447" s="347">
        <v>47318.5</v>
      </c>
      <c r="B447" s="364">
        <f t="shared" si="181"/>
        <v>47.3185</v>
      </c>
      <c r="C447" s="337">
        <f t="shared" si="162"/>
        <v>1.3404140647469436</v>
      </c>
      <c r="D447" s="338">
        <f t="shared" si="163"/>
        <v>0.72870386642898155</v>
      </c>
      <c r="E447" s="338">
        <f t="shared" si="164"/>
        <v>1.000003905229284</v>
      </c>
      <c r="F447" s="339">
        <f t="shared" si="165"/>
        <v>2.7947152180081447E-3</v>
      </c>
      <c r="G447" s="338">
        <f t="shared" si="166"/>
        <v>1</v>
      </c>
      <c r="H447" s="339">
        <f t="shared" si="167"/>
        <v>0</v>
      </c>
      <c r="I447" s="337">
        <f t="shared" si="168"/>
        <v>513761.07618989586</v>
      </c>
      <c r="J447" s="340">
        <f t="shared" si="169"/>
        <v>1.5707943803648412</v>
      </c>
      <c r="K447" s="348">
        <f t="shared" si="185"/>
        <v>7.8982974618510804</v>
      </c>
      <c r="L447" s="349">
        <f t="shared" si="186"/>
        <v>1.4438460408110461</v>
      </c>
      <c r="M447" s="337">
        <f t="shared" si="170"/>
        <v>1.0010288539035446</v>
      </c>
      <c r="N447" s="340">
        <f t="shared" si="171"/>
        <v>4.5342531035409937E-2</v>
      </c>
      <c r="O447" s="341">
        <f t="shared" si="172"/>
        <v>1.0005233947801124</v>
      </c>
      <c r="P447" s="342">
        <f t="shared" si="173"/>
        <v>7.1470570977032258E-2</v>
      </c>
      <c r="Q447" s="343">
        <f t="shared" si="174"/>
        <v>-1.3996029809395449</v>
      </c>
      <c r="R447" s="344">
        <f t="shared" si="175"/>
        <v>-55.558032547567215</v>
      </c>
      <c r="S447" s="346">
        <f t="shared" si="176"/>
        <v>124.44196745243278</v>
      </c>
      <c r="U447" s="319">
        <f t="shared" si="182"/>
        <v>47318.5</v>
      </c>
      <c r="V447" s="319">
        <f t="shared" si="183"/>
        <v>2239040442.25</v>
      </c>
      <c r="X447" s="345">
        <f t="shared" si="177"/>
        <v>1.433738242091537</v>
      </c>
      <c r="Y447" s="346">
        <f t="shared" si="178"/>
        <v>-9.8715397446759674</v>
      </c>
      <c r="AA447" s="345">
        <f t="shared" si="179"/>
        <v>30.390287645901296</v>
      </c>
      <c r="AB447" s="346">
        <f t="shared" si="180"/>
        <v>-45.686492802891237</v>
      </c>
      <c r="AD447">
        <f t="shared" si="184"/>
        <v>0</v>
      </c>
      <c r="AE447">
        <f t="shared" si="187"/>
        <v>0</v>
      </c>
    </row>
    <row r="448" spans="1:31" x14ac:dyDescent="0.2">
      <c r="A448" s="347">
        <v>47590.75</v>
      </c>
      <c r="B448" s="364">
        <f t="shared" si="181"/>
        <v>47.59075</v>
      </c>
      <c r="C448" s="337">
        <f t="shared" si="162"/>
        <v>1.3438393061063252</v>
      </c>
      <c r="D448" s="338">
        <f t="shared" si="163"/>
        <v>0.73155489316026256</v>
      </c>
      <c r="E448" s="338">
        <f t="shared" si="164"/>
        <v>1.000003950296442</v>
      </c>
      <c r="F448" s="339">
        <f t="shared" si="165"/>
        <v>2.8107947053562575E-3</v>
      </c>
      <c r="G448" s="338">
        <f t="shared" si="166"/>
        <v>1</v>
      </c>
      <c r="H448" s="339">
        <f t="shared" si="167"/>
        <v>0</v>
      </c>
      <c r="I448" s="337">
        <f t="shared" si="168"/>
        <v>516717.03322556202</v>
      </c>
      <c r="J448" s="340">
        <f t="shared" si="169"/>
        <v>1.5707943914996854</v>
      </c>
      <c r="K448" s="348">
        <f t="shared" si="185"/>
        <v>7.9430144129881581</v>
      </c>
      <c r="L448" s="349">
        <f t="shared" si="186"/>
        <v>1.4445645668957654</v>
      </c>
      <c r="M448" s="337">
        <f t="shared" si="170"/>
        <v>1.0010407209430134</v>
      </c>
      <c r="N448" s="340">
        <f t="shared" si="171"/>
        <v>4.5603051662250496E-2</v>
      </c>
      <c r="O448" s="341">
        <f t="shared" si="172"/>
        <v>1.0005294573390533</v>
      </c>
      <c r="P448" s="342">
        <f t="shared" si="173"/>
        <v>7.188205282009448E-2</v>
      </c>
      <c r="Q448" s="343">
        <f t="shared" si="174"/>
        <v>-1.422719766718106</v>
      </c>
      <c r="R448" s="344">
        <f t="shared" si="175"/>
        <v>-55.717798091172263</v>
      </c>
      <c r="S448" s="346">
        <f t="shared" si="176"/>
        <v>124.28220190882774</v>
      </c>
      <c r="U448" s="319">
        <f t="shared" si="182"/>
        <v>47590.75</v>
      </c>
      <c r="V448" s="319">
        <f t="shared" si="183"/>
        <v>2264879485.5625</v>
      </c>
      <c r="X448" s="345">
        <f t="shared" si="177"/>
        <v>1.432840965854842</v>
      </c>
      <c r="Y448" s="346">
        <f t="shared" si="178"/>
        <v>-9.8452986028951539</v>
      </c>
      <c r="AA448" s="345">
        <f t="shared" si="179"/>
        <v>30.368068136359433</v>
      </c>
      <c r="AB448" s="346">
        <f t="shared" si="180"/>
        <v>-45.872499488277107</v>
      </c>
      <c r="AD448">
        <f t="shared" si="184"/>
        <v>0</v>
      </c>
      <c r="AE448">
        <f t="shared" si="187"/>
        <v>0</v>
      </c>
    </row>
    <row r="449" spans="1:31" x14ac:dyDescent="0.2">
      <c r="A449" s="347">
        <v>47863</v>
      </c>
      <c r="B449" s="364">
        <f t="shared" si="181"/>
        <v>47.863</v>
      </c>
      <c r="C449" s="337">
        <f t="shared" si="162"/>
        <v>1.3472754150737594</v>
      </c>
      <c r="D449" s="338">
        <f t="shared" si="163"/>
        <v>0.73439140025764149</v>
      </c>
      <c r="E449" s="338">
        <f t="shared" si="164"/>
        <v>1.0000039956221507</v>
      </c>
      <c r="F449" s="339">
        <f t="shared" si="165"/>
        <v>2.8268741912509062E-3</v>
      </c>
      <c r="G449" s="338">
        <f t="shared" si="166"/>
        <v>1</v>
      </c>
      <c r="H449" s="339">
        <f t="shared" si="167"/>
        <v>0</v>
      </c>
      <c r="I449" s="337">
        <f t="shared" si="168"/>
        <v>519672.99026122829</v>
      </c>
      <c r="J449" s="340">
        <f t="shared" si="169"/>
        <v>1.5707944025078571</v>
      </c>
      <c r="K449" s="348">
        <f t="shared" si="185"/>
        <v>7.9877354190269774</v>
      </c>
      <c r="L449" s="349">
        <f t="shared" si="186"/>
        <v>1.4452750477069876</v>
      </c>
      <c r="M449" s="337">
        <f t="shared" si="170"/>
        <v>1.0010526559225008</v>
      </c>
      <c r="N449" s="340">
        <f t="shared" si="171"/>
        <v>4.5863566094694587E-2</v>
      </c>
      <c r="O449" s="341">
        <f t="shared" si="172"/>
        <v>1.0005355551959252</v>
      </c>
      <c r="P449" s="342">
        <f t="shared" si="173"/>
        <v>7.2293539313683916E-2</v>
      </c>
      <c r="Q449" s="343">
        <f t="shared" si="174"/>
        <v>-1.4458377051810558</v>
      </c>
      <c r="R449" s="344">
        <f t="shared" si="175"/>
        <v>-55.877192585618914</v>
      </c>
      <c r="S449" s="346">
        <f t="shared" si="176"/>
        <v>124.12280741438109</v>
      </c>
      <c r="U449" s="319">
        <f t="shared" si="182"/>
        <v>47863</v>
      </c>
      <c r="V449" s="319">
        <f t="shared" si="183"/>
        <v>2290866769</v>
      </c>
      <c r="X449" s="345">
        <f t="shared" si="177"/>
        <v>1.4319564754557377</v>
      </c>
      <c r="Y449" s="346">
        <f t="shared" si="178"/>
        <v>-9.8195180591607087</v>
      </c>
      <c r="AA449" s="345">
        <f t="shared" si="179"/>
        <v>30.345834688295589</v>
      </c>
      <c r="AB449" s="346">
        <f t="shared" si="180"/>
        <v>-46.057674526458221</v>
      </c>
      <c r="AD449">
        <f t="shared" si="184"/>
        <v>0</v>
      </c>
      <c r="AE449">
        <f t="shared" si="187"/>
        <v>0</v>
      </c>
    </row>
    <row r="450" spans="1:31" x14ac:dyDescent="0.2">
      <c r="A450" s="347">
        <v>48141.75</v>
      </c>
      <c r="B450" s="364">
        <f t="shared" si="181"/>
        <v>48.141750000000002</v>
      </c>
      <c r="C450" s="337">
        <f t="shared" si="162"/>
        <v>1.3508047348281256</v>
      </c>
      <c r="D450" s="338">
        <f t="shared" si="163"/>
        <v>0.73728065376716656</v>
      </c>
      <c r="E450" s="338">
        <f t="shared" si="164"/>
        <v>1.0000040422979</v>
      </c>
      <c r="F450" s="339">
        <f t="shared" si="165"/>
        <v>2.843337575202345E-3</v>
      </c>
      <c r="G450" s="338">
        <f t="shared" si="166"/>
        <v>1</v>
      </c>
      <c r="H450" s="339">
        <f t="shared" si="167"/>
        <v>0</v>
      </c>
      <c r="I450" s="337">
        <f t="shared" si="168"/>
        <v>522699.52111041837</v>
      </c>
      <c r="J450" s="340">
        <f t="shared" si="169"/>
        <v>1.5707944136498493</v>
      </c>
      <c r="K450" s="348">
        <f t="shared" si="185"/>
        <v>8.0335282747712178</v>
      </c>
      <c r="L450" s="349">
        <f t="shared" si="186"/>
        <v>1.4459942952144029</v>
      </c>
      <c r="M450" s="337">
        <f t="shared" si="170"/>
        <v>1.0010649462409507</v>
      </c>
      <c r="N450" s="340">
        <f t="shared" si="171"/>
        <v>4.6130293884419374E-2</v>
      </c>
      <c r="O450" s="341">
        <f t="shared" si="172"/>
        <v>1.0005418352211841</v>
      </c>
      <c r="P450" s="342">
        <f t="shared" si="173"/>
        <v>7.271485494012668E-2</v>
      </c>
      <c r="Q450" s="343">
        <f t="shared" si="174"/>
        <v>-1.46950827628481</v>
      </c>
      <c r="R450" s="344">
        <f t="shared" si="175"/>
        <v>-56.040004111084258</v>
      </c>
      <c r="S450" s="346">
        <f t="shared" si="176"/>
        <v>123.95999588891574</v>
      </c>
      <c r="U450" s="319">
        <f t="shared" si="182"/>
        <v>48141.75</v>
      </c>
      <c r="V450" s="319">
        <f t="shared" si="183"/>
        <v>2317628093.0625</v>
      </c>
      <c r="X450" s="345">
        <f t="shared" si="177"/>
        <v>1.4310638042085189</v>
      </c>
      <c r="Y450" s="346">
        <f t="shared" si="178"/>
        <v>-9.7935912275500918</v>
      </c>
      <c r="AA450" s="345">
        <f t="shared" si="179"/>
        <v>30.32305678843905</v>
      </c>
      <c r="AB450" s="346">
        <f t="shared" si="180"/>
        <v>-46.246412883534191</v>
      </c>
      <c r="AD450">
        <f t="shared" si="184"/>
        <v>0</v>
      </c>
      <c r="AE450">
        <f t="shared" si="187"/>
        <v>0</v>
      </c>
    </row>
    <row r="451" spans="1:31" x14ac:dyDescent="0.2">
      <c r="A451" s="347">
        <v>48420.5</v>
      </c>
      <c r="B451" s="364">
        <f t="shared" si="181"/>
        <v>48.420499999999997</v>
      </c>
      <c r="C451" s="337">
        <f t="shared" si="162"/>
        <v>1.3543452719864169</v>
      </c>
      <c r="D451" s="338">
        <f t="shared" si="163"/>
        <v>0.74015482495926932</v>
      </c>
      <c r="E451" s="338">
        <f t="shared" si="164"/>
        <v>1.0000040892446935</v>
      </c>
      <c r="F451" s="339">
        <f t="shared" si="165"/>
        <v>2.859800957612446E-3</v>
      </c>
      <c r="G451" s="338">
        <f t="shared" si="166"/>
        <v>1</v>
      </c>
      <c r="H451" s="339">
        <f t="shared" si="167"/>
        <v>0</v>
      </c>
      <c r="I451" s="337">
        <f t="shared" si="168"/>
        <v>525726.05195960845</v>
      </c>
      <c r="J451" s="340">
        <f t="shared" si="169"/>
        <v>1.5707944246635561</v>
      </c>
      <c r="K451" s="348">
        <f t="shared" si="185"/>
        <v>8.0793252392844916</v>
      </c>
      <c r="L451" s="349">
        <f t="shared" si="186"/>
        <v>1.4467053891001804</v>
      </c>
      <c r="M451" s="337">
        <f t="shared" si="170"/>
        <v>1.0010773077771271</v>
      </c>
      <c r="N451" s="340">
        <f t="shared" si="171"/>
        <v>4.6397015105885342E-2</v>
      </c>
      <c r="O451" s="341">
        <f t="shared" si="172"/>
        <v>1.000548152268826</v>
      </c>
      <c r="P451" s="342">
        <f t="shared" si="173"/>
        <v>7.313617549703183E-2</v>
      </c>
      <c r="Q451" s="343">
        <f t="shared" si="174"/>
        <v>-1.4931790323980501</v>
      </c>
      <c r="R451" s="344">
        <f t="shared" si="175"/>
        <v>-56.202418550422486</v>
      </c>
      <c r="S451" s="346">
        <f t="shared" si="176"/>
        <v>123.79758144957751</v>
      </c>
      <c r="U451" s="319">
        <f t="shared" si="182"/>
        <v>48420.5</v>
      </c>
      <c r="V451" s="319">
        <f t="shared" si="183"/>
        <v>2344544820.25</v>
      </c>
      <c r="X451" s="345">
        <f t="shared" si="177"/>
        <v>1.430183913821689</v>
      </c>
      <c r="Y451" s="346">
        <f t="shared" si="178"/>
        <v>-9.7681311803638717</v>
      </c>
      <c r="AA451" s="345">
        <f t="shared" si="179"/>
        <v>30.30026592271264</v>
      </c>
      <c r="AB451" s="346">
        <f t="shared" si="180"/>
        <v>-46.434287370058613</v>
      </c>
      <c r="AD451">
        <f t="shared" si="184"/>
        <v>0</v>
      </c>
      <c r="AE451">
        <f t="shared" si="187"/>
        <v>0</v>
      </c>
    </row>
    <row r="452" spans="1:31" x14ac:dyDescent="0.2">
      <c r="A452" s="347">
        <v>48699.25</v>
      </c>
      <c r="B452" s="364">
        <f t="shared" si="181"/>
        <v>48.699249999999999</v>
      </c>
      <c r="C452" s="337">
        <f t="shared" si="162"/>
        <v>1.3578969388049325</v>
      </c>
      <c r="D452" s="338">
        <f t="shared" si="163"/>
        <v>0.74301398450839118</v>
      </c>
      <c r="E452" s="338">
        <f t="shared" si="164"/>
        <v>1.0000041364625309</v>
      </c>
      <c r="F452" s="339">
        <f t="shared" si="165"/>
        <v>2.8762643384722853E-3</v>
      </c>
      <c r="G452" s="338">
        <f t="shared" si="166"/>
        <v>1</v>
      </c>
      <c r="H452" s="339">
        <f t="shared" si="167"/>
        <v>0</v>
      </c>
      <c r="I452" s="337">
        <f t="shared" si="168"/>
        <v>528752.58280879864</v>
      </c>
      <c r="J452" s="340">
        <f t="shared" si="169"/>
        <v>1.5707944355511798</v>
      </c>
      <c r="K452" s="348">
        <f t="shared" si="185"/>
        <v>8.1251262430900422</v>
      </c>
      <c r="L452" s="349">
        <f t="shared" si="186"/>
        <v>1.4474084665239282</v>
      </c>
      <c r="M452" s="337">
        <f t="shared" si="170"/>
        <v>1.0010897405283916</v>
      </c>
      <c r="N452" s="340">
        <f t="shared" si="171"/>
        <v>4.6663729721387305E-2</v>
      </c>
      <c r="O452" s="341">
        <f t="shared" si="172"/>
        <v>1.000554506348468</v>
      </c>
      <c r="P452" s="342">
        <f t="shared" si="173"/>
        <v>7.3557501012319337E-2</v>
      </c>
      <c r="Q452" s="343">
        <f t="shared" si="174"/>
        <v>-1.5168494601757807</v>
      </c>
      <c r="R452" s="344">
        <f t="shared" si="175"/>
        <v>-56.364432093880112</v>
      </c>
      <c r="S452" s="346">
        <f t="shared" si="176"/>
        <v>123.63556790611989</v>
      </c>
      <c r="U452" s="319">
        <f t="shared" si="182"/>
        <v>48699.25</v>
      </c>
      <c r="V452" s="319">
        <f t="shared" si="183"/>
        <v>2371616950.5625</v>
      </c>
      <c r="X452" s="345">
        <f t="shared" si="177"/>
        <v>1.4293165023517296</v>
      </c>
      <c r="Y452" s="346">
        <f t="shared" si="178"/>
        <v>-9.7431300569012311</v>
      </c>
      <c r="AA452" s="345">
        <f t="shared" si="179"/>
        <v>30.277462906404867</v>
      </c>
      <c r="AB452" s="346">
        <f t="shared" si="180"/>
        <v>-46.621302036978868</v>
      </c>
      <c r="AD452">
        <f t="shared" si="184"/>
        <v>0</v>
      </c>
      <c r="AE452">
        <f t="shared" si="187"/>
        <v>0</v>
      </c>
    </row>
    <row r="453" spans="1:31" x14ac:dyDescent="0.2">
      <c r="A453" s="347">
        <v>48978</v>
      </c>
      <c r="B453" s="364">
        <f t="shared" si="181"/>
        <v>48.978000000000002</v>
      </c>
      <c r="C453" s="337">
        <f t="shared" si="162"/>
        <v>1.361459648181178</v>
      </c>
      <c r="D453" s="338">
        <f t="shared" si="163"/>
        <v>0.74585820333440367</v>
      </c>
      <c r="E453" s="338">
        <f t="shared" si="164"/>
        <v>1.0000041839514124</v>
      </c>
      <c r="F453" s="339">
        <f t="shared" si="165"/>
        <v>2.8927277177729382E-3</v>
      </c>
      <c r="G453" s="338">
        <f t="shared" si="166"/>
        <v>1</v>
      </c>
      <c r="H453" s="339">
        <f t="shared" si="167"/>
        <v>0</v>
      </c>
      <c r="I453" s="337">
        <f t="shared" si="168"/>
        <v>531779.11365798884</v>
      </c>
      <c r="J453" s="340">
        <f t="shared" si="169"/>
        <v>1.5707944463148733</v>
      </c>
      <c r="K453" s="348">
        <f t="shared" si="185"/>
        <v>8.1709312182628153</v>
      </c>
      <c r="L453" s="349">
        <f t="shared" si="186"/>
        <v>1.4481036616017822</v>
      </c>
      <c r="M453" s="337">
        <f t="shared" si="170"/>
        <v>1.001102244492091</v>
      </c>
      <c r="N453" s="340">
        <f t="shared" si="171"/>
        <v>4.6930437693225711E-2</v>
      </c>
      <c r="O453" s="341">
        <f t="shared" si="172"/>
        <v>1.0005608974697817</v>
      </c>
      <c r="P453" s="342">
        <f t="shared" si="173"/>
        <v>7.3978831513898224E-2</v>
      </c>
      <c r="Q453" s="343">
        <f t="shared" si="174"/>
        <v>-1.5405190494804271</v>
      </c>
      <c r="R453" s="344">
        <f t="shared" si="175"/>
        <v>-56.526041120140825</v>
      </c>
      <c r="S453" s="346">
        <f t="shared" si="176"/>
        <v>123.47395887985917</v>
      </c>
      <c r="U453" s="319">
        <f t="shared" si="182"/>
        <v>48978</v>
      </c>
      <c r="V453" s="319">
        <f t="shared" si="183"/>
        <v>2398844484</v>
      </c>
      <c r="X453" s="345">
        <f t="shared" si="177"/>
        <v>1.4284612762954698</v>
      </c>
      <c r="Y453" s="346">
        <f t="shared" si="178"/>
        <v>-9.7185801708369297</v>
      </c>
      <c r="AA453" s="345">
        <f t="shared" si="179"/>
        <v>30.254648543156474</v>
      </c>
      <c r="AB453" s="346">
        <f t="shared" si="180"/>
        <v>-46.807460949303916</v>
      </c>
      <c r="AD453">
        <f t="shared" si="184"/>
        <v>0</v>
      </c>
      <c r="AE453">
        <f t="shared" si="187"/>
        <v>0</v>
      </c>
    </row>
    <row r="454" spans="1:31" x14ac:dyDescent="0.2">
      <c r="A454" s="347">
        <v>49263.25</v>
      </c>
      <c r="B454" s="364">
        <f t="shared" si="181"/>
        <v>49.263249999999999</v>
      </c>
      <c r="C454" s="337">
        <f t="shared" si="162"/>
        <v>1.3651167757882852</v>
      </c>
      <c r="D454" s="338">
        <f t="shared" si="163"/>
        <v>0.74875335160573564</v>
      </c>
      <c r="E454" s="338">
        <f t="shared" si="164"/>
        <v>1.0000042328282561</v>
      </c>
      <c r="F454" s="339">
        <f t="shared" si="165"/>
        <v>2.9095749948777729E-3</v>
      </c>
      <c r="G454" s="338">
        <f t="shared" si="166"/>
        <v>1</v>
      </c>
      <c r="H454" s="339">
        <f t="shared" si="167"/>
        <v>0</v>
      </c>
      <c r="I454" s="337">
        <f t="shared" si="168"/>
        <v>534876.21832070278</v>
      </c>
      <c r="J454" s="340">
        <f t="shared" si="169"/>
        <v>1.5707944572034551</v>
      </c>
      <c r="K454" s="348">
        <f t="shared" si="185"/>
        <v>8.217808333584248</v>
      </c>
      <c r="L454" s="349">
        <f t="shared" si="186"/>
        <v>1.4488070441294374</v>
      </c>
      <c r="M454" s="337">
        <f t="shared" si="170"/>
        <v>1.0011151137478882</v>
      </c>
      <c r="N454" s="340">
        <f t="shared" si="171"/>
        <v>4.7203357947232502E-2</v>
      </c>
      <c r="O454" s="341">
        <f t="shared" si="172"/>
        <v>1.0005674759792471</v>
      </c>
      <c r="P454" s="342">
        <f t="shared" si="173"/>
        <v>7.4409991953760468E-2</v>
      </c>
      <c r="Q454" s="343">
        <f t="shared" si="174"/>
        <v>-1.5647391787017397</v>
      </c>
      <c r="R454" s="344">
        <f t="shared" si="175"/>
        <v>-56.690996245314089</v>
      </c>
      <c r="S454" s="346">
        <f t="shared" si="176"/>
        <v>123.3090037546859</v>
      </c>
      <c r="U454" s="319">
        <f t="shared" si="182"/>
        <v>49263.25</v>
      </c>
      <c r="V454" s="319">
        <f t="shared" si="183"/>
        <v>2426867800.5625</v>
      </c>
      <c r="X454" s="345">
        <f t="shared" si="177"/>
        <v>1.4275984250414635</v>
      </c>
      <c r="Y454" s="346">
        <f t="shared" si="178"/>
        <v>-9.6939171231588599</v>
      </c>
      <c r="AA454" s="345">
        <f t="shared" si="179"/>
        <v>30.231291265189174</v>
      </c>
      <c r="AB454" s="346">
        <f t="shared" si="180"/>
        <v>-46.997079122155213</v>
      </c>
      <c r="AD454">
        <f t="shared" si="184"/>
        <v>0</v>
      </c>
      <c r="AE454">
        <f t="shared" si="187"/>
        <v>0</v>
      </c>
    </row>
    <row r="455" spans="1:31" x14ac:dyDescent="0.2">
      <c r="A455" s="347">
        <v>49548.5</v>
      </c>
      <c r="B455" s="364">
        <f t="shared" si="181"/>
        <v>49.548499999999997</v>
      </c>
      <c r="C455" s="337">
        <f t="shared" si="162"/>
        <v>1.3687852844464907</v>
      </c>
      <c r="D455" s="338">
        <f t="shared" si="163"/>
        <v>0.75163300521753784</v>
      </c>
      <c r="E455" s="338">
        <f t="shared" si="164"/>
        <v>1.0000042819889317</v>
      </c>
      <c r="F455" s="339">
        <f t="shared" si="165"/>
        <v>2.9264222703309487E-3</v>
      </c>
      <c r="G455" s="338">
        <f t="shared" si="166"/>
        <v>1</v>
      </c>
      <c r="H455" s="339">
        <f t="shared" si="167"/>
        <v>0</v>
      </c>
      <c r="I455" s="337">
        <f t="shared" si="168"/>
        <v>537973.32298341696</v>
      </c>
      <c r="J455" s="340">
        <f t="shared" si="169"/>
        <v>1.5707944679666661</v>
      </c>
      <c r="K455" s="348">
        <f t="shared" si="185"/>
        <v>8.2646894685188652</v>
      </c>
      <c r="L455" s="349">
        <f t="shared" si="186"/>
        <v>1.44950244717692</v>
      </c>
      <c r="M455" s="337">
        <f t="shared" si="170"/>
        <v>1.0011280575702899</v>
      </c>
      <c r="N455" s="340">
        <f t="shared" si="171"/>
        <v>4.747627116426538E-2</v>
      </c>
      <c r="O455" s="341">
        <f t="shared" si="172"/>
        <v>1.0005740932986997</v>
      </c>
      <c r="P455" s="342">
        <f t="shared" si="173"/>
        <v>7.4841157674267952E-2</v>
      </c>
      <c r="Q455" s="343">
        <f t="shared" si="174"/>
        <v>-1.5889573600819458</v>
      </c>
      <c r="R455" s="344">
        <f t="shared" si="175"/>
        <v>-56.855520674708593</v>
      </c>
      <c r="S455" s="346">
        <f t="shared" si="176"/>
        <v>123.1444793252914</v>
      </c>
      <c r="U455" s="319">
        <f t="shared" si="182"/>
        <v>49548.5</v>
      </c>
      <c r="V455" s="319">
        <f t="shared" si="183"/>
        <v>2455053852.25</v>
      </c>
      <c r="X455" s="345">
        <f t="shared" si="177"/>
        <v>1.426747738117311</v>
      </c>
      <c r="Y455" s="346">
        <f t="shared" si="178"/>
        <v>-9.6697108556457998</v>
      </c>
      <c r="AA455" s="345">
        <f t="shared" si="179"/>
        <v>30.207923770733125</v>
      </c>
      <c r="AB455" s="346">
        <f t="shared" si="180"/>
        <v>-47.185809819062776</v>
      </c>
      <c r="AD455">
        <f t="shared" si="184"/>
        <v>0</v>
      </c>
      <c r="AE455">
        <f t="shared" si="187"/>
        <v>0</v>
      </c>
    </row>
    <row r="456" spans="1:31" x14ac:dyDescent="0.2">
      <c r="A456" s="347">
        <v>49833.75</v>
      </c>
      <c r="B456" s="364">
        <f t="shared" si="181"/>
        <v>49.833750000000002</v>
      </c>
      <c r="C456" s="337">
        <f t="shared" si="162"/>
        <v>1.3724650828934004</v>
      </c>
      <c r="D456" s="338">
        <f t="shared" si="163"/>
        <v>0.75449724085085623</v>
      </c>
      <c r="E456" s="338">
        <f t="shared" si="164"/>
        <v>1.000004331433439</v>
      </c>
      <c r="F456" s="339">
        <f t="shared" si="165"/>
        <v>2.9432695441229035E-3</v>
      </c>
      <c r="G456" s="338">
        <f t="shared" si="166"/>
        <v>1</v>
      </c>
      <c r="H456" s="339">
        <f t="shared" si="167"/>
        <v>0</v>
      </c>
      <c r="I456" s="337">
        <f t="shared" si="168"/>
        <v>541070.42764613102</v>
      </c>
      <c r="J456" s="340">
        <f t="shared" si="169"/>
        <v>1.5707944786066592</v>
      </c>
      <c r="K456" s="348">
        <f t="shared" si="185"/>
        <v>8.311574555049221</v>
      </c>
      <c r="L456" s="349">
        <f t="shared" si="186"/>
        <v>1.4501900051011882</v>
      </c>
      <c r="M456" s="337">
        <f t="shared" si="170"/>
        <v>1.0011410759564039</v>
      </c>
      <c r="N456" s="340">
        <f t="shared" si="171"/>
        <v>4.774917730394402E-2</v>
      </c>
      <c r="O456" s="341">
        <f t="shared" si="172"/>
        <v>1.0005807494386849</v>
      </c>
      <c r="P456" s="342">
        <f t="shared" si="173"/>
        <v>7.5272328705292102E-2</v>
      </c>
      <c r="Q456" s="343">
        <f t="shared" si="174"/>
        <v>-1.6131730585384263</v>
      </c>
      <c r="R456" s="344">
        <f t="shared" si="175"/>
        <v>-57.019611103259741</v>
      </c>
      <c r="S456" s="346">
        <f t="shared" si="176"/>
        <v>122.98038889674027</v>
      </c>
      <c r="U456" s="319">
        <f t="shared" si="182"/>
        <v>49833.75</v>
      </c>
      <c r="V456" s="319">
        <f t="shared" si="183"/>
        <v>2483402639.0625</v>
      </c>
      <c r="X456" s="345">
        <f t="shared" si="177"/>
        <v>1.4259089266592895</v>
      </c>
      <c r="Y456" s="346">
        <f t="shared" si="178"/>
        <v>-9.6459536680208036</v>
      </c>
      <c r="AA456" s="345">
        <f t="shared" si="179"/>
        <v>30.184546883734669</v>
      </c>
      <c r="AB456" s="346">
        <f t="shared" si="180"/>
        <v>-47.373657435238954</v>
      </c>
      <c r="AD456">
        <f t="shared" si="184"/>
        <v>0</v>
      </c>
      <c r="AE456">
        <f t="shared" si="187"/>
        <v>0</v>
      </c>
    </row>
    <row r="457" spans="1:31" x14ac:dyDescent="0.2">
      <c r="A457" s="347">
        <v>50119</v>
      </c>
      <c r="B457" s="364">
        <f t="shared" si="181"/>
        <v>50.119</v>
      </c>
      <c r="C457" s="337">
        <f t="shared" si="162"/>
        <v>1.3761560805633888</v>
      </c>
      <c r="D457" s="338">
        <f t="shared" si="163"/>
        <v>0.75734613537973761</v>
      </c>
      <c r="E457" s="338">
        <f t="shared" si="164"/>
        <v>1.0000043811617783</v>
      </c>
      <c r="F457" s="339">
        <f t="shared" si="165"/>
        <v>2.9601168162440728E-3</v>
      </c>
      <c r="G457" s="338">
        <f t="shared" si="166"/>
        <v>1</v>
      </c>
      <c r="H457" s="339">
        <f t="shared" si="167"/>
        <v>0</v>
      </c>
      <c r="I457" s="337">
        <f t="shared" si="168"/>
        <v>544167.5323088452</v>
      </c>
      <c r="J457" s="340">
        <f t="shared" si="169"/>
        <v>1.5707944891255381</v>
      </c>
      <c r="K457" s="348">
        <f t="shared" si="185"/>
        <v>8.3584635266783138</v>
      </c>
      <c r="L457" s="349">
        <f t="shared" si="186"/>
        <v>1.450869849274411</v>
      </c>
      <c r="M457" s="337">
        <f t="shared" si="170"/>
        <v>1.0011541689033212</v>
      </c>
      <c r="N457" s="340">
        <f t="shared" si="171"/>
        <v>4.8022076325894454E-2</v>
      </c>
      <c r="O457" s="341">
        <f t="shared" si="172"/>
        <v>1.0005874444098066</v>
      </c>
      <c r="P457" s="342">
        <f t="shared" si="173"/>
        <v>7.5703505076692351E-2</v>
      </c>
      <c r="Q457" s="343">
        <f t="shared" si="174"/>
        <v>-1.6373857432402437</v>
      </c>
      <c r="R457" s="344">
        <f t="shared" si="175"/>
        <v>-57.18326440797388</v>
      </c>
      <c r="S457" s="346">
        <f t="shared" si="176"/>
        <v>122.81673559202612</v>
      </c>
      <c r="U457" s="319">
        <f t="shared" si="182"/>
        <v>50119</v>
      </c>
      <c r="V457" s="319">
        <f t="shared" si="183"/>
        <v>2511914161</v>
      </c>
      <c r="X457" s="345">
        <f t="shared" si="177"/>
        <v>1.4250817098842439</v>
      </c>
      <c r="Y457" s="346">
        <f t="shared" si="178"/>
        <v>-9.6226380310203137</v>
      </c>
      <c r="AA457" s="345">
        <f t="shared" si="179"/>
        <v>30.161161415807889</v>
      </c>
      <c r="AB457" s="346">
        <f t="shared" si="180"/>
        <v>-47.560626376953557</v>
      </c>
      <c r="AD457">
        <f t="shared" si="184"/>
        <v>0</v>
      </c>
      <c r="AE457">
        <f t="shared" si="187"/>
        <v>0</v>
      </c>
    </row>
    <row r="458" spans="1:31" x14ac:dyDescent="0.2">
      <c r="A458" s="347">
        <v>50410.75</v>
      </c>
      <c r="B458" s="364">
        <f t="shared" si="181"/>
        <v>50.41075</v>
      </c>
      <c r="C458" s="337">
        <f t="shared" si="162"/>
        <v>1.3799426763622786</v>
      </c>
      <c r="D458" s="338">
        <f t="shared" si="163"/>
        <v>0.76024415860480254</v>
      </c>
      <c r="E458" s="338">
        <f t="shared" si="164"/>
        <v>1.0000044323168857</v>
      </c>
      <c r="F458" s="339">
        <f t="shared" si="165"/>
        <v>2.9773479859040298E-3</v>
      </c>
      <c r="G458" s="338">
        <f t="shared" si="166"/>
        <v>1</v>
      </c>
      <c r="H458" s="339">
        <f t="shared" si="167"/>
        <v>0</v>
      </c>
      <c r="I458" s="337">
        <f t="shared" si="168"/>
        <v>547335.21078508312</v>
      </c>
      <c r="J458" s="340">
        <f t="shared" si="169"/>
        <v>1.5707944997609689</v>
      </c>
      <c r="K458" s="348">
        <f t="shared" si="185"/>
        <v>8.4064249098020554</v>
      </c>
      <c r="L458" s="349">
        <f t="shared" si="186"/>
        <v>1.4515573395490164</v>
      </c>
      <c r="M458" s="337">
        <f t="shared" si="170"/>
        <v>1.0011676373252398</v>
      </c>
      <c r="N458" s="340">
        <f t="shared" si="171"/>
        <v>4.8301186500811825E-2</v>
      </c>
      <c r="O458" s="341">
        <f t="shared" si="172"/>
        <v>1.0005943321190336</v>
      </c>
      <c r="P458" s="342">
        <f t="shared" si="173"/>
        <v>7.6144512231947056E-2</v>
      </c>
      <c r="Q458" s="343">
        <f t="shared" si="174"/>
        <v>-1.6621464968765189</v>
      </c>
      <c r="R458" s="344">
        <f t="shared" si="175"/>
        <v>-57.350191636541297</v>
      </c>
      <c r="S458" s="346">
        <f t="shared" si="176"/>
        <v>122.6498083634587</v>
      </c>
      <c r="U458" s="319">
        <f t="shared" si="182"/>
        <v>50410.75</v>
      </c>
      <c r="V458" s="319">
        <f t="shared" si="183"/>
        <v>2541243715.5625</v>
      </c>
      <c r="X458" s="345">
        <f t="shared" si="177"/>
        <v>1.4242473528299557</v>
      </c>
      <c r="Y458" s="346">
        <f t="shared" si="178"/>
        <v>-9.5992401842096111</v>
      </c>
      <c r="AA458" s="345">
        <f t="shared" si="179"/>
        <v>30.137235019225905</v>
      </c>
      <c r="AB458" s="346">
        <f t="shared" si="180"/>
        <v>-47.750951452331734</v>
      </c>
      <c r="AD458">
        <f t="shared" si="184"/>
        <v>0</v>
      </c>
      <c r="AE458">
        <f t="shared" si="187"/>
        <v>0</v>
      </c>
    </row>
    <row r="459" spans="1:31" x14ac:dyDescent="0.2">
      <c r="A459" s="347">
        <v>50702.5</v>
      </c>
      <c r="B459" s="364">
        <f t="shared" si="181"/>
        <v>50.702500000000001</v>
      </c>
      <c r="C459" s="337">
        <f t="shared" si="162"/>
        <v>1.3837407981772596</v>
      </c>
      <c r="D459" s="338">
        <f t="shared" si="163"/>
        <v>0.76312629681089561</v>
      </c>
      <c r="E459" s="338">
        <f t="shared" si="164"/>
        <v>1.0000044837689075</v>
      </c>
      <c r="F459" s="339">
        <f t="shared" si="165"/>
        <v>2.9945791537959541E-3</v>
      </c>
      <c r="G459" s="338">
        <f t="shared" si="166"/>
        <v>1</v>
      </c>
      <c r="H459" s="339">
        <f t="shared" si="167"/>
        <v>0</v>
      </c>
      <c r="I459" s="337">
        <f t="shared" si="168"/>
        <v>550502.88926132116</v>
      </c>
      <c r="J459" s="340">
        <f t="shared" si="169"/>
        <v>1.5707945102740035</v>
      </c>
      <c r="K459" s="348">
        <f t="shared" si="185"/>
        <v>8.4543902210815709</v>
      </c>
      <c r="L459" s="349">
        <f t="shared" si="186"/>
        <v>1.452237029298928</v>
      </c>
      <c r="M459" s="337">
        <f t="shared" si="170"/>
        <v>1.0011811837385078</v>
      </c>
      <c r="N459" s="340">
        <f t="shared" si="171"/>
        <v>4.8580289144509396E-2</v>
      </c>
      <c r="O459" s="341">
        <f t="shared" si="172"/>
        <v>1.000601260471887</v>
      </c>
      <c r="P459" s="342">
        <f t="shared" si="173"/>
        <v>7.6585525036877086E-2</v>
      </c>
      <c r="Q459" s="343">
        <f t="shared" si="174"/>
        <v>-1.6869029888643952</v>
      </c>
      <c r="R459" s="344">
        <f t="shared" si="175"/>
        <v>-57.516655542990641</v>
      </c>
      <c r="S459" s="346">
        <f t="shared" si="176"/>
        <v>122.48334445700937</v>
      </c>
      <c r="U459" s="319">
        <f t="shared" si="182"/>
        <v>50702.5</v>
      </c>
      <c r="V459" s="319">
        <f t="shared" si="183"/>
        <v>2570743506.25</v>
      </c>
      <c r="X459" s="345">
        <f t="shared" si="177"/>
        <v>1.4234245554818306</v>
      </c>
      <c r="Y459" s="346">
        <f t="shared" si="178"/>
        <v>-9.5762888360224778</v>
      </c>
      <c r="AA459" s="345">
        <f t="shared" si="179"/>
        <v>30.113301324586157</v>
      </c>
      <c r="AB459" s="346">
        <f t="shared" si="180"/>
        <v>-47.940366706968135</v>
      </c>
      <c r="AD459">
        <f t="shared" si="184"/>
        <v>0</v>
      </c>
      <c r="AE459">
        <f t="shared" si="187"/>
        <v>0</v>
      </c>
    </row>
    <row r="460" spans="1:31" x14ac:dyDescent="0.2">
      <c r="A460" s="347">
        <v>50994.25</v>
      </c>
      <c r="B460" s="364">
        <f t="shared" si="181"/>
        <v>50.994250000000001</v>
      </c>
      <c r="C460" s="337">
        <f t="shared" si="162"/>
        <v>1.3875503513583354</v>
      </c>
      <c r="D460" s="338">
        <f t="shared" si="163"/>
        <v>0.76599263275730278</v>
      </c>
      <c r="E460" s="338">
        <f t="shared" si="164"/>
        <v>1.000004535517844</v>
      </c>
      <c r="F460" s="339">
        <f t="shared" si="165"/>
        <v>3.0118103199096129E-3</v>
      </c>
      <c r="G460" s="338">
        <f t="shared" si="166"/>
        <v>1</v>
      </c>
      <c r="H460" s="339">
        <f t="shared" si="167"/>
        <v>0</v>
      </c>
      <c r="I460" s="337">
        <f t="shared" si="168"/>
        <v>553670.56773755932</v>
      </c>
      <c r="J460" s="340">
        <f t="shared" si="169"/>
        <v>1.5707945206667433</v>
      </c>
      <c r="K460" s="348">
        <f t="shared" si="185"/>
        <v>8.5023593940358317</v>
      </c>
      <c r="L460" s="349">
        <f t="shared" si="186"/>
        <v>1.4529090499193138</v>
      </c>
      <c r="M460" s="337">
        <f t="shared" si="170"/>
        <v>1.0011948081399598</v>
      </c>
      <c r="N460" s="340">
        <f t="shared" si="171"/>
        <v>4.8859384213810489E-2</v>
      </c>
      <c r="O460" s="341">
        <f t="shared" si="172"/>
        <v>1.000608229479909</v>
      </c>
      <c r="P460" s="342">
        <f t="shared" si="173"/>
        <v>7.7026543523389765E-2</v>
      </c>
      <c r="Q460" s="343">
        <f t="shared" si="174"/>
        <v>-1.7116546660246685</v>
      </c>
      <c r="R460" s="344">
        <f t="shared" si="175"/>
        <v>-57.682653340166198</v>
      </c>
      <c r="S460" s="346">
        <f t="shared" si="176"/>
        <v>122.3173466598338</v>
      </c>
      <c r="U460" s="319">
        <f t="shared" si="182"/>
        <v>50994.25</v>
      </c>
      <c r="V460" s="319">
        <f t="shared" si="183"/>
        <v>2600413533.0625</v>
      </c>
      <c r="X460" s="345">
        <f t="shared" si="177"/>
        <v>1.4226130419361711</v>
      </c>
      <c r="Y460" s="346">
        <f t="shared" si="178"/>
        <v>-9.5537764557168803</v>
      </c>
      <c r="AA460" s="345">
        <f t="shared" si="179"/>
        <v>30.089361160971539</v>
      </c>
      <c r="AB460" s="346">
        <f t="shared" si="180"/>
        <v>-48.128876884449333</v>
      </c>
      <c r="AD460">
        <f t="shared" si="184"/>
        <v>0</v>
      </c>
      <c r="AE460">
        <f t="shared" si="187"/>
        <v>0</v>
      </c>
    </row>
    <row r="461" spans="1:31" x14ac:dyDescent="0.2">
      <c r="A461" s="347">
        <v>51286</v>
      </c>
      <c r="B461" s="364">
        <f t="shared" si="181"/>
        <v>51.286000000000001</v>
      </c>
      <c r="C461" s="337">
        <f t="shared" ref="C461:C524" si="188">SQRT(1+(A461/pole1)^2)</f>
        <v>1.3913712420087927</v>
      </c>
      <c r="D461" s="338">
        <f t="shared" ref="D461:D524" si="189">ATAN(A461/pole1)</f>
        <v>0.76884324933695369</v>
      </c>
      <c r="E461" s="338">
        <f t="shared" ref="E461:E524" si="190">SQRT(1+(A461/Zero1)^2)</f>
        <v>1.0000045875636947</v>
      </c>
      <c r="F461" s="339">
        <f t="shared" ref="F461:F524" si="191">ATAN(A461/Zero1)</f>
        <v>3.0290414842347752E-3</v>
      </c>
      <c r="G461" s="338">
        <f t="shared" ref="G461:G524" si="192">IF(VIN_nom&gt;Vout, 1, SQRT(1+(A461/z_RHP)^2))</f>
        <v>1</v>
      </c>
      <c r="H461" s="339">
        <f t="shared" ref="H461:H524" si="193">IF(VIN_nom&gt;Vout, 0, -ATAN(A461/z_RHP))</f>
        <v>0</v>
      </c>
      <c r="I461" s="337">
        <f t="shared" ref="I461:I524" si="194">SQRT(1+(A461/Pole2)^2)</f>
        <v>556838.24621379748</v>
      </c>
      <c r="J461" s="340">
        <f t="shared" ref="J461:J524" si="195">ATAN(A461/Pole2)</f>
        <v>1.570794530941241</v>
      </c>
      <c r="K461" s="348">
        <f t="shared" si="185"/>
        <v>8.5503323636703996</v>
      </c>
      <c r="L461" s="349">
        <f t="shared" si="186"/>
        <v>1.4535735298845547</v>
      </c>
      <c r="M461" s="337">
        <f t="shared" ref="M461:M524" si="196">SQRT(1+(A461/pole4)^2)</f>
        <v>1.0012085105264121</v>
      </c>
      <c r="N461" s="340">
        <f t="shared" ref="N461:N524" si="197">ATAN(A461/pole4)</f>
        <v>4.9138471665545531E-2</v>
      </c>
      <c r="O461" s="341">
        <f t="shared" ref="O461:O524" si="198">SQRT((1-(V461/pterm2))^2+(A461/pterm1)^2)</f>
        <v>1.0006152391547094</v>
      </c>
      <c r="P461" s="342">
        <f t="shared" ref="P461:P524" si="199">IF((ATAN((A461/pterm1)/(1-A461^2/pterm2))&gt;0),ATAN((A461/pterm1)/(1-A461^2/pterm2)),PI()+ATAN((A461/pterm1)/(1-A461^2/pterm2)))</f>
        <v>7.7467567723378677E-2</v>
      </c>
      <c r="Q461" s="343">
        <f t="shared" ref="Q461:Q524" si="200">20*LOG10(((E461*K461*G461)/(C461*I461*O461*M461))*Adc)</f>
        <v>-1.7364009804470588</v>
      </c>
      <c r="R461" s="344">
        <f t="shared" ref="R461:R524" si="201">((F461+L461+H461)-(D461+J461+P461+N461))*radconv</f>
        <v>-57.848182415915446</v>
      </c>
      <c r="S461" s="346">
        <f t="shared" ref="S461:S524" si="202">IF(R461&gt;0,R461,R461+180)</f>
        <v>122.15181758408455</v>
      </c>
      <c r="U461" s="319">
        <f t="shared" si="182"/>
        <v>51286</v>
      </c>
      <c r="V461" s="319">
        <f t="shared" si="183"/>
        <v>2630253796</v>
      </c>
      <c r="X461" s="345">
        <f t="shared" ref="X461:X524" si="203">20*LOG10((K461/(I461*M461))*AEA)</f>
        <v>1.4218125440087961</v>
      </c>
      <c r="Y461" s="346">
        <f t="shared" ref="Y461:Y524" si="204">(L461-(J461+N461))*radconv</f>
        <v>-9.5316956798971848</v>
      </c>
      <c r="AA461" s="345">
        <f t="shared" ref="AA461:AA524" si="205">20*LOG10((E461*G461/(C461*O461))*Acs*Am)</f>
        <v>30.065415344476527</v>
      </c>
      <c r="AB461" s="346">
        <f t="shared" ref="AB461:AB524" si="206">(F461+H461-(D461+P461))*radconv</f>
        <v>-48.316486736018291</v>
      </c>
      <c r="AD461">
        <f t="shared" si="184"/>
        <v>0</v>
      </c>
      <c r="AE461">
        <f t="shared" si="187"/>
        <v>0</v>
      </c>
    </row>
    <row r="462" spans="1:31" x14ac:dyDescent="0.2">
      <c r="A462" s="347">
        <v>51584.75</v>
      </c>
      <c r="B462" s="364">
        <f t="shared" ref="B462:B525" si="207">A462/1000</f>
        <v>51.58475</v>
      </c>
      <c r="C462" s="337">
        <f t="shared" si="188"/>
        <v>1.3952954593145215</v>
      </c>
      <c r="D462" s="338">
        <f t="shared" si="189"/>
        <v>0.77174605825417109</v>
      </c>
      <c r="E462" s="338">
        <f t="shared" si="190"/>
        <v>1.0000046411659747</v>
      </c>
      <c r="F462" s="339">
        <f t="shared" si="191"/>
        <v>3.0466860765168673E-3</v>
      </c>
      <c r="G462" s="338">
        <f t="shared" si="192"/>
        <v>1</v>
      </c>
      <c r="H462" s="339">
        <f t="shared" si="193"/>
        <v>0</v>
      </c>
      <c r="I462" s="337">
        <f t="shared" si="194"/>
        <v>560081.92725844576</v>
      </c>
      <c r="J462" s="340">
        <f t="shared" si="195"/>
        <v>1.5707945413418203</v>
      </c>
      <c r="K462" s="348">
        <f t="shared" si="185"/>
        <v>8.5994602237549778</v>
      </c>
      <c r="L462" s="349">
        <f t="shared" si="186"/>
        <v>1.4542462698176148</v>
      </c>
      <c r="M462" s="337">
        <f t="shared" si="196"/>
        <v>1.0012226224869671</v>
      </c>
      <c r="N462" s="340">
        <f t="shared" si="197"/>
        <v>4.9424247363927615E-2</v>
      </c>
      <c r="O462" s="341">
        <f t="shared" si="198"/>
        <v>1.0006224591679178</v>
      </c>
      <c r="P462" s="342">
        <f t="shared" si="199"/>
        <v>7.7919179434913013E-2</v>
      </c>
      <c r="Q462" s="343">
        <f t="shared" si="200"/>
        <v>-1.7617349128331414</v>
      </c>
      <c r="R462" s="344">
        <f t="shared" si="201"/>
        <v>-58.017194778618432</v>
      </c>
      <c r="S462" s="346">
        <f t="shared" si="202"/>
        <v>121.98280522138157</v>
      </c>
      <c r="U462" s="319">
        <f t="shared" ref="U462:U525" si="208">IF(Q462&lt;0,A462,1000000000)</f>
        <v>51584.75</v>
      </c>
      <c r="V462" s="319">
        <f t="shared" ref="V462:V525" si="209">A462^2</f>
        <v>2660986432.5625</v>
      </c>
      <c r="X462" s="345">
        <f t="shared" si="203"/>
        <v>1.421003982561255</v>
      </c>
      <c r="Y462" s="346">
        <f t="shared" si="204"/>
        <v>-9.5095248583115826</v>
      </c>
      <c r="AA462" s="345">
        <f t="shared" si="205"/>
        <v>30.040889973537979</v>
      </c>
      <c r="AB462" s="346">
        <f t="shared" si="206"/>
        <v>-48.507669920306853</v>
      </c>
      <c r="AD462">
        <f t="shared" ref="AD462:AD525" si="210">SUM((Q463&lt;0)*(Q462&gt;0))*A462</f>
        <v>0</v>
      </c>
      <c r="AE462">
        <f t="shared" si="187"/>
        <v>0</v>
      </c>
    </row>
    <row r="463" spans="1:31" x14ac:dyDescent="0.2">
      <c r="A463" s="347">
        <v>51883.5</v>
      </c>
      <c r="B463" s="364">
        <f t="shared" si="207"/>
        <v>51.883499999999998</v>
      </c>
      <c r="C463" s="337">
        <f t="shared" si="188"/>
        <v>1.3992313677929968</v>
      </c>
      <c r="D463" s="338">
        <f t="shared" si="189"/>
        <v>0.77463256071393671</v>
      </c>
      <c r="E463" s="338">
        <f t="shared" si="190"/>
        <v>1.0000046950795878</v>
      </c>
      <c r="F463" s="339">
        <f t="shared" si="191"/>
        <v>3.0643306669018949E-3</v>
      </c>
      <c r="G463" s="338">
        <f t="shared" si="192"/>
        <v>1</v>
      </c>
      <c r="H463" s="339">
        <f t="shared" si="193"/>
        <v>0</v>
      </c>
      <c r="I463" s="337">
        <f t="shared" si="194"/>
        <v>563325.60830309428</v>
      </c>
      <c r="J463" s="340">
        <f t="shared" si="195"/>
        <v>1.5707945516226245</v>
      </c>
      <c r="K463" s="348">
        <f t="shared" si="185"/>
        <v>8.6485919315579398</v>
      </c>
      <c r="L463" s="349">
        <f t="shared" si="186"/>
        <v>1.4549113665244191</v>
      </c>
      <c r="M463" s="337">
        <f t="shared" si="196"/>
        <v>1.001236816212812</v>
      </c>
      <c r="N463" s="340">
        <f t="shared" si="197"/>
        <v>4.9710014983224526E-2</v>
      </c>
      <c r="O463" s="341">
        <f t="shared" si="198"/>
        <v>1.000629721847613</v>
      </c>
      <c r="P463" s="342">
        <f t="shared" si="199"/>
        <v>7.8370797205024323E-2</v>
      </c>
      <c r="Q463" s="343">
        <f t="shared" si="200"/>
        <v>-1.7870620767038194</v>
      </c>
      <c r="R463" s="344">
        <f t="shared" si="201"/>
        <v>-58.18571065221586</v>
      </c>
      <c r="S463" s="346">
        <f t="shared" si="202"/>
        <v>121.81428934778414</v>
      </c>
      <c r="U463" s="319">
        <f t="shared" si="208"/>
        <v>51883.5</v>
      </c>
      <c r="V463" s="319">
        <f t="shared" si="209"/>
        <v>2691897572.25</v>
      </c>
      <c r="X463" s="345">
        <f t="shared" si="203"/>
        <v>1.4202064262144729</v>
      </c>
      <c r="Y463" s="346">
        <f t="shared" si="204"/>
        <v>-9.4877914915727182</v>
      </c>
      <c r="AA463" s="345">
        <f t="shared" si="205"/>
        <v>30.016360366014091</v>
      </c>
      <c r="AB463" s="346">
        <f t="shared" si="206"/>
        <v>-48.697919160643131</v>
      </c>
      <c r="AD463">
        <f t="shared" si="210"/>
        <v>0</v>
      </c>
      <c r="AE463">
        <f t="shared" si="187"/>
        <v>0</v>
      </c>
    </row>
    <row r="464" spans="1:31" x14ac:dyDescent="0.2">
      <c r="A464" s="347">
        <v>52182.25</v>
      </c>
      <c r="B464" s="364">
        <f t="shared" si="207"/>
        <v>52.182250000000003</v>
      </c>
      <c r="C464" s="337">
        <f t="shared" si="188"/>
        <v>1.4031788690632094</v>
      </c>
      <c r="D464" s="338">
        <f t="shared" si="189"/>
        <v>0.77750284603645781</v>
      </c>
      <c r="E464" s="338">
        <f t="shared" si="190"/>
        <v>1.0000047493045339</v>
      </c>
      <c r="F464" s="339">
        <f t="shared" si="191"/>
        <v>3.0819752553788711E-3</v>
      </c>
      <c r="G464" s="338">
        <f t="shared" si="192"/>
        <v>1</v>
      </c>
      <c r="H464" s="339">
        <f t="shared" si="193"/>
        <v>0</v>
      </c>
      <c r="I464" s="337">
        <f t="shared" si="194"/>
        <v>566569.2893477428</v>
      </c>
      <c r="J464" s="340">
        <f t="shared" si="195"/>
        <v>1.5707945617857111</v>
      </c>
      <c r="K464" s="348">
        <f t="shared" si="185"/>
        <v>8.6977274218743297</v>
      </c>
      <c r="L464" s="349">
        <f t="shared" si="186"/>
        <v>1.455568948946611</v>
      </c>
      <c r="M464" s="337">
        <f t="shared" si="196"/>
        <v>1.0012510917004693</v>
      </c>
      <c r="N464" s="340">
        <f t="shared" si="197"/>
        <v>4.9995774477107485E-2</v>
      </c>
      <c r="O464" s="341">
        <f t="shared" si="198"/>
        <v>1.0006370272064757</v>
      </c>
      <c r="P464" s="342">
        <f t="shared" si="199"/>
        <v>7.8822421067912415E-2</v>
      </c>
      <c r="Q464" s="343">
        <f t="shared" si="200"/>
        <v>-1.8123819017249025</v>
      </c>
      <c r="R464" s="344">
        <f t="shared" si="201"/>
        <v>-58.353727765990207</v>
      </c>
      <c r="S464" s="346">
        <f t="shared" si="202"/>
        <v>121.64627223400979</v>
      </c>
      <c r="U464" s="319">
        <f t="shared" si="208"/>
        <v>52182.25</v>
      </c>
      <c r="V464" s="319">
        <f t="shared" si="209"/>
        <v>2722987215.0625</v>
      </c>
      <c r="X464" s="345">
        <f t="shared" si="203"/>
        <v>1.4194196105288392</v>
      </c>
      <c r="Y464" s="346">
        <f t="shared" si="204"/>
        <v>-9.4664881893320469</v>
      </c>
      <c r="AA464" s="345">
        <f t="shared" si="205"/>
        <v>29.991827356678641</v>
      </c>
      <c r="AB464" s="346">
        <f t="shared" si="206"/>
        <v>-48.887239576658168</v>
      </c>
      <c r="AD464">
        <f t="shared" si="210"/>
        <v>0</v>
      </c>
      <c r="AE464">
        <f t="shared" si="187"/>
        <v>0</v>
      </c>
    </row>
    <row r="465" spans="1:31" x14ac:dyDescent="0.2">
      <c r="A465" s="347">
        <v>52481</v>
      </c>
      <c r="B465" s="364">
        <f t="shared" si="207"/>
        <v>52.481000000000002</v>
      </c>
      <c r="C465" s="337">
        <f t="shared" si="188"/>
        <v>1.4071378655599678</v>
      </c>
      <c r="D465" s="338">
        <f t="shared" si="189"/>
        <v>0.7803570036099885</v>
      </c>
      <c r="E465" s="338">
        <f t="shared" si="190"/>
        <v>1.0000048038408129</v>
      </c>
      <c r="F465" s="339">
        <f t="shared" si="191"/>
        <v>3.099619841936809E-3</v>
      </c>
      <c r="G465" s="338">
        <f t="shared" si="192"/>
        <v>1</v>
      </c>
      <c r="H465" s="339">
        <f t="shared" si="193"/>
        <v>0</v>
      </c>
      <c r="I465" s="337">
        <f t="shared" si="194"/>
        <v>569812.97039239132</v>
      </c>
      <c r="J465" s="340">
        <f t="shared" si="195"/>
        <v>1.57079457183309</v>
      </c>
      <c r="K465" s="348">
        <f t="shared" si="185"/>
        <v>8.7468666309593814</v>
      </c>
      <c r="L465" s="349">
        <f t="shared" si="186"/>
        <v>1.4562191431546276</v>
      </c>
      <c r="M465" s="337">
        <f t="shared" si="196"/>
        <v>1.0012654489464419</v>
      </c>
      <c r="N465" s="340">
        <f t="shared" si="197"/>
        <v>5.0281525799255662E-2</v>
      </c>
      <c r="O465" s="341">
        <f t="shared" si="198"/>
        <v>1.0006443752572598</v>
      </c>
      <c r="P465" s="342">
        <f t="shared" si="199"/>
        <v>7.9274051057761752E-2</v>
      </c>
      <c r="Q465" s="343">
        <f t="shared" si="200"/>
        <v>-1.83769382385392</v>
      </c>
      <c r="R465" s="344">
        <f t="shared" si="201"/>
        <v>-58.521244017627716</v>
      </c>
      <c r="S465" s="346">
        <f t="shared" si="202"/>
        <v>121.47875598237229</v>
      </c>
      <c r="U465" s="319">
        <f t="shared" si="208"/>
        <v>52481</v>
      </c>
      <c r="V465" s="319">
        <f t="shared" si="209"/>
        <v>2754255361</v>
      </c>
      <c r="X465" s="345">
        <f t="shared" si="203"/>
        <v>1.4186432784733132</v>
      </c>
      <c r="Y465" s="346">
        <f t="shared" si="204"/>
        <v>-9.4456077257467648</v>
      </c>
      <c r="AA465" s="345">
        <f t="shared" si="205"/>
        <v>29.967291766605143</v>
      </c>
      <c r="AB465" s="346">
        <f t="shared" si="206"/>
        <v>-49.075636291880933</v>
      </c>
      <c r="AD465">
        <f t="shared" si="210"/>
        <v>0</v>
      </c>
      <c r="AE465">
        <f t="shared" si="187"/>
        <v>0</v>
      </c>
    </row>
    <row r="466" spans="1:31" x14ac:dyDescent="0.2">
      <c r="A466" s="347">
        <v>52786.5</v>
      </c>
      <c r="B466" s="364">
        <f t="shared" si="207"/>
        <v>52.786499999999997</v>
      </c>
      <c r="C466" s="337">
        <f t="shared" si="188"/>
        <v>1.4111980991292608</v>
      </c>
      <c r="D466" s="338">
        <f t="shared" si="189"/>
        <v>0.78325906315962468</v>
      </c>
      <c r="E466" s="338">
        <f t="shared" si="190"/>
        <v>1.0000048599312561</v>
      </c>
      <c r="F466" s="339">
        <f t="shared" si="191"/>
        <v>3.1176630907975324E-3</v>
      </c>
      <c r="G466" s="338">
        <f t="shared" si="192"/>
        <v>1</v>
      </c>
      <c r="H466" s="339">
        <f t="shared" si="193"/>
        <v>0</v>
      </c>
      <c r="I466" s="337">
        <f t="shared" si="194"/>
        <v>573129.93962800689</v>
      </c>
      <c r="J466" s="340">
        <f t="shared" si="195"/>
        <v>1.5707945819898692</v>
      </c>
      <c r="K466" s="348">
        <f t="shared" si="185"/>
        <v>8.7971198791459457</v>
      </c>
      <c r="L466" s="349">
        <f t="shared" si="186"/>
        <v>1.4568765158794936</v>
      </c>
      <c r="M466" s="337">
        <f t="shared" si="196"/>
        <v>1.0012802151284803</v>
      </c>
      <c r="N466" s="340">
        <f t="shared" si="197"/>
        <v>5.0573724928401738E-2</v>
      </c>
      <c r="O466" s="341">
        <f t="shared" si="198"/>
        <v>1.0006519334940123</v>
      </c>
      <c r="P466" s="342">
        <f t="shared" si="199"/>
        <v>7.9735891611627349E-2</v>
      </c>
      <c r="Q466" s="343">
        <f t="shared" si="200"/>
        <v>-1.8635688934060655</v>
      </c>
      <c r="R466" s="344">
        <f t="shared" si="201"/>
        <v>-58.692025170564904</v>
      </c>
      <c r="S466" s="346">
        <f t="shared" si="202"/>
        <v>121.3079748294351</v>
      </c>
      <c r="U466" s="319">
        <f t="shared" si="208"/>
        <v>52786.5</v>
      </c>
      <c r="V466" s="319">
        <f t="shared" si="209"/>
        <v>2786414582.25</v>
      </c>
      <c r="X466" s="345">
        <f t="shared" si="203"/>
        <v>1.4178599871630784</v>
      </c>
      <c r="Y466" s="346">
        <f t="shared" si="204"/>
        <v>-9.4246854018390689</v>
      </c>
      <c r="AA466" s="345">
        <f t="shared" si="205"/>
        <v>29.942199988363235</v>
      </c>
      <c r="AB466" s="346">
        <f t="shared" si="206"/>
        <v>-49.267339768725833</v>
      </c>
      <c r="AD466">
        <f t="shared" si="210"/>
        <v>0</v>
      </c>
      <c r="AE466">
        <f t="shared" si="187"/>
        <v>0</v>
      </c>
    </row>
    <row r="467" spans="1:31" x14ac:dyDescent="0.2">
      <c r="A467" s="347">
        <v>53092</v>
      </c>
      <c r="B467" s="364">
        <f t="shared" si="207"/>
        <v>53.091999999999999</v>
      </c>
      <c r="C467" s="337">
        <f t="shared" si="188"/>
        <v>1.4152701494862752</v>
      </c>
      <c r="D467" s="338">
        <f t="shared" si="189"/>
        <v>0.78614444713822507</v>
      </c>
      <c r="E467" s="338">
        <f t="shared" si="190"/>
        <v>1.0000049163472597</v>
      </c>
      <c r="F467" s="339">
        <f t="shared" si="191"/>
        <v>3.1357063376282841E-3</v>
      </c>
      <c r="G467" s="338">
        <f t="shared" si="192"/>
        <v>1</v>
      </c>
      <c r="H467" s="339">
        <f t="shared" si="193"/>
        <v>0</v>
      </c>
      <c r="I467" s="337">
        <f t="shared" si="194"/>
        <v>576446.90886362258</v>
      </c>
      <c r="J467" s="340">
        <f t="shared" si="195"/>
        <v>1.570794592029761</v>
      </c>
      <c r="K467" s="348">
        <f t="shared" si="185"/>
        <v>8.8473768857232127</v>
      </c>
      <c r="L467" s="349">
        <f t="shared" si="186"/>
        <v>1.4575264205479783</v>
      </c>
      <c r="M467" s="337">
        <f t="shared" si="196"/>
        <v>1.0012950667976293</v>
      </c>
      <c r="N467" s="340">
        <f t="shared" si="197"/>
        <v>5.0865915414430668E-2</v>
      </c>
      <c r="O467" s="341">
        <f t="shared" si="198"/>
        <v>1.0006595364008612</v>
      </c>
      <c r="P467" s="342">
        <f t="shared" si="199"/>
        <v>8.0197738644700117E-2</v>
      </c>
      <c r="Q467" s="343">
        <f t="shared" si="200"/>
        <v>-1.8894345265025114</v>
      </c>
      <c r="R467" s="344">
        <f t="shared" si="201"/>
        <v>-58.862278641208249</v>
      </c>
      <c r="S467" s="346">
        <f t="shared" si="202"/>
        <v>121.13772135879175</v>
      </c>
      <c r="U467" s="319">
        <f t="shared" si="208"/>
        <v>53092</v>
      </c>
      <c r="V467" s="319">
        <f t="shared" si="209"/>
        <v>2818760464</v>
      </c>
      <c r="X467" s="345">
        <f t="shared" si="203"/>
        <v>1.417087137604355</v>
      </c>
      <c r="Y467" s="346">
        <f t="shared" si="204"/>
        <v>-9.4041904641323875</v>
      </c>
      <c r="AA467" s="345">
        <f t="shared" si="205"/>
        <v>29.917107204825513</v>
      </c>
      <c r="AB467" s="346">
        <f t="shared" si="206"/>
        <v>-49.458088177075865</v>
      </c>
      <c r="AD467">
        <f t="shared" si="210"/>
        <v>0</v>
      </c>
      <c r="AE467">
        <f t="shared" si="187"/>
        <v>0</v>
      </c>
    </row>
    <row r="468" spans="1:31" x14ac:dyDescent="0.2">
      <c r="A468" s="347">
        <v>53397.5</v>
      </c>
      <c r="B468" s="364">
        <f t="shared" si="207"/>
        <v>53.397500000000001</v>
      </c>
      <c r="C468" s="337">
        <f t="shared" si="188"/>
        <v>1.4193539149258219</v>
      </c>
      <c r="D468" s="338">
        <f t="shared" si="189"/>
        <v>0.78901325123161892</v>
      </c>
      <c r="E468" s="338">
        <f t="shared" si="190"/>
        <v>1.0000049730888239</v>
      </c>
      <c r="F468" s="339">
        <f t="shared" si="191"/>
        <v>3.1537495824173157E-3</v>
      </c>
      <c r="G468" s="338">
        <f t="shared" si="192"/>
        <v>1</v>
      </c>
      <c r="H468" s="339">
        <f t="shared" si="193"/>
        <v>0</v>
      </c>
      <c r="I468" s="337">
        <f t="shared" si="194"/>
        <v>579763.87809923827</v>
      </c>
      <c r="J468" s="340">
        <f t="shared" si="195"/>
        <v>1.5707946019547716</v>
      </c>
      <c r="K468" s="348">
        <f t="shared" si="185"/>
        <v>8.8976375870050166</v>
      </c>
      <c r="L468" s="349">
        <f t="shared" si="186"/>
        <v>1.4581689831623497</v>
      </c>
      <c r="M468" s="337">
        <f t="shared" si="196"/>
        <v>1.0013100039500851</v>
      </c>
      <c r="N468" s="340">
        <f t="shared" si="197"/>
        <v>5.1158097207836456E-2</v>
      </c>
      <c r="O468" s="341">
        <f t="shared" si="198"/>
        <v>1.0006671839916801</v>
      </c>
      <c r="P468" s="342">
        <f t="shared" si="199"/>
        <v>8.065959219348387E-2</v>
      </c>
      <c r="Q468" s="343">
        <f t="shared" si="200"/>
        <v>-1.9152901410179917</v>
      </c>
      <c r="R468" s="344">
        <f t="shared" si="201"/>
        <v>-59.03200269192439</v>
      </c>
      <c r="S468" s="346">
        <f t="shared" si="202"/>
        <v>120.96799730807561</v>
      </c>
      <c r="U468" s="319">
        <f t="shared" si="208"/>
        <v>53397.5</v>
      </c>
      <c r="V468" s="319">
        <f t="shared" si="209"/>
        <v>2851293006.25</v>
      </c>
      <c r="X468" s="345">
        <f t="shared" si="203"/>
        <v>1.4163244774061721</v>
      </c>
      <c r="Y468" s="346">
        <f t="shared" si="204"/>
        <v>-9.3841156905070147</v>
      </c>
      <c r="AA468" s="345">
        <f t="shared" si="205"/>
        <v>29.892014250508211</v>
      </c>
      <c r="AB468" s="346">
        <f t="shared" si="206"/>
        <v>-49.647887001417374</v>
      </c>
      <c r="AD468">
        <f t="shared" si="210"/>
        <v>0</v>
      </c>
      <c r="AE468">
        <f t="shared" si="187"/>
        <v>0</v>
      </c>
    </row>
    <row r="469" spans="1:31" x14ac:dyDescent="0.2">
      <c r="A469" s="347">
        <v>53703</v>
      </c>
      <c r="B469" s="364">
        <f t="shared" si="207"/>
        <v>53.703000000000003</v>
      </c>
      <c r="C469" s="337">
        <f t="shared" si="188"/>
        <v>1.4234492946189194</v>
      </c>
      <c r="D469" s="338">
        <f t="shared" si="189"/>
        <v>0.79186557112080347</v>
      </c>
      <c r="E469" s="338">
        <f t="shared" si="190"/>
        <v>1.0000050301559482</v>
      </c>
      <c r="F469" s="339">
        <f t="shared" si="191"/>
        <v>3.1717928251528797E-3</v>
      </c>
      <c r="G469" s="338">
        <f t="shared" si="192"/>
        <v>1</v>
      </c>
      <c r="H469" s="339">
        <f t="shared" si="193"/>
        <v>0</v>
      </c>
      <c r="I469" s="337">
        <f t="shared" si="194"/>
        <v>583080.84733485396</v>
      </c>
      <c r="J469" s="340">
        <f t="shared" si="195"/>
        <v>1.5707946117668614</v>
      </c>
      <c r="K469" s="348">
        <f t="shared" si="185"/>
        <v>8.9479019207314767</v>
      </c>
      <c r="L469" s="349">
        <f t="shared" si="186"/>
        <v>1.4588043269181978</v>
      </c>
      <c r="M469" s="337">
        <f t="shared" si="196"/>
        <v>1.0013250265820217</v>
      </c>
      <c r="N469" s="340">
        <f t="shared" si="197"/>
        <v>5.1450270259121994E-2</v>
      </c>
      <c r="O469" s="341">
        <f t="shared" si="198"/>
        <v>1.0006748762804218</v>
      </c>
      <c r="P469" s="342">
        <f t="shared" si="199"/>
        <v>8.1121452294465241E-2</v>
      </c>
      <c r="Q469" s="343">
        <f t="shared" si="200"/>
        <v>-1.9411351620832449</v>
      </c>
      <c r="R469" s="344">
        <f t="shared" si="201"/>
        <v>-59.201195745610853</v>
      </c>
      <c r="S469" s="346">
        <f t="shared" si="202"/>
        <v>120.79880425438915</v>
      </c>
      <c r="U469" s="319">
        <f t="shared" si="208"/>
        <v>53703</v>
      </c>
      <c r="V469" s="319">
        <f t="shared" si="209"/>
        <v>2884012209</v>
      </c>
      <c r="X469" s="345">
        <f t="shared" si="203"/>
        <v>1.4155717612482841</v>
      </c>
      <c r="Y469" s="346">
        <f t="shared" si="204"/>
        <v>-9.3644540196519088</v>
      </c>
      <c r="AA469" s="345">
        <f t="shared" si="205"/>
        <v>29.866921945600851</v>
      </c>
      <c r="AB469" s="346">
        <f t="shared" si="206"/>
        <v>-49.836741725958909</v>
      </c>
      <c r="AD469">
        <f t="shared" si="210"/>
        <v>0</v>
      </c>
      <c r="AE469">
        <f t="shared" si="187"/>
        <v>0</v>
      </c>
    </row>
    <row r="470" spans="1:31" x14ac:dyDescent="0.2">
      <c r="A470" s="347">
        <v>54015.75</v>
      </c>
      <c r="B470" s="364">
        <f t="shared" si="207"/>
        <v>54.015749999999997</v>
      </c>
      <c r="C470" s="337">
        <f t="shared" si="188"/>
        <v>1.4276537907777418</v>
      </c>
      <c r="D470" s="338">
        <f t="shared" si="189"/>
        <v>0.79476860532184201</v>
      </c>
      <c r="E470" s="338">
        <f t="shared" si="190"/>
        <v>1.0000050889146068</v>
      </c>
      <c r="F470" s="339">
        <f t="shared" si="191"/>
        <v>3.1902642605439045E-3</v>
      </c>
      <c r="G470" s="338">
        <f t="shared" si="192"/>
        <v>1</v>
      </c>
      <c r="H470" s="339">
        <f t="shared" si="193"/>
        <v>0</v>
      </c>
      <c r="I470" s="337">
        <f t="shared" si="194"/>
        <v>586476.53351632319</v>
      </c>
      <c r="J470" s="340">
        <f t="shared" si="195"/>
        <v>1.5707946216968358</v>
      </c>
      <c r="K470" s="348">
        <f t="shared" si="185"/>
        <v>8.999362806120363</v>
      </c>
      <c r="L470" s="349">
        <f t="shared" si="186"/>
        <v>1.4594473962853609</v>
      </c>
      <c r="M470" s="337">
        <f t="shared" si="196"/>
        <v>1.0013404942672441</v>
      </c>
      <c r="N470" s="340">
        <f t="shared" si="197"/>
        <v>5.174936793330942E-2</v>
      </c>
      <c r="O470" s="341">
        <f t="shared" si="198"/>
        <v>1.0006827974356782</v>
      </c>
      <c r="P470" s="342">
        <f t="shared" si="199"/>
        <v>8.1594279894234401E-2</v>
      </c>
      <c r="Q470" s="343">
        <f t="shared" si="200"/>
        <v>-1.9675819604857445</v>
      </c>
      <c r="R470" s="344">
        <f t="shared" si="201"/>
        <v>-59.373852486590543</v>
      </c>
      <c r="S470" s="346">
        <f t="shared" si="202"/>
        <v>120.62614751340945</v>
      </c>
      <c r="U470" s="319">
        <f t="shared" si="208"/>
        <v>54015.75</v>
      </c>
      <c r="V470" s="319">
        <f t="shared" si="209"/>
        <v>2917701248.0625</v>
      </c>
      <c r="X470" s="345">
        <f t="shared" si="203"/>
        <v>1.4148112338082708</v>
      </c>
      <c r="Y470" s="346">
        <f t="shared" si="204"/>
        <v>-9.3447464622955412</v>
      </c>
      <c r="AA470" s="345">
        <f t="shared" si="205"/>
        <v>29.841235674638362</v>
      </c>
      <c r="AB470" s="346">
        <f t="shared" si="206"/>
        <v>-50.029106024294983</v>
      </c>
      <c r="AD470">
        <f t="shared" si="210"/>
        <v>0</v>
      </c>
      <c r="AE470">
        <f t="shared" si="187"/>
        <v>0</v>
      </c>
    </row>
    <row r="471" spans="1:31" x14ac:dyDescent="0.2">
      <c r="A471" s="347">
        <v>54328.5</v>
      </c>
      <c r="B471" s="364">
        <f t="shared" si="207"/>
        <v>54.328499999999998</v>
      </c>
      <c r="C471" s="337">
        <f t="shared" si="188"/>
        <v>1.4318702479245118</v>
      </c>
      <c r="D471" s="338">
        <f t="shared" si="189"/>
        <v>0.79765456647903676</v>
      </c>
      <c r="E471" s="338">
        <f t="shared" si="190"/>
        <v>1.0000051480144612</v>
      </c>
      <c r="F471" s="339">
        <f t="shared" si="191"/>
        <v>3.2087356937579247E-3</v>
      </c>
      <c r="G471" s="338">
        <f t="shared" si="192"/>
        <v>1</v>
      </c>
      <c r="H471" s="339">
        <f t="shared" si="193"/>
        <v>0</v>
      </c>
      <c r="I471" s="337">
        <f t="shared" si="194"/>
        <v>589872.21969779243</v>
      </c>
      <c r="J471" s="340">
        <f t="shared" si="195"/>
        <v>1.5707946315124837</v>
      </c>
      <c r="K471" s="348">
        <f t="shared" ref="K471:K534" si="211">SQRT(1+(A471/Zero2)^2)</f>
        <v>9.0508273707686815</v>
      </c>
      <c r="L471" s="349">
        <f t="shared" ref="L471:L534" si="212">ATAN(A471/Zero2)</f>
        <v>1.4600831527063944</v>
      </c>
      <c r="M471" s="337">
        <f t="shared" si="196"/>
        <v>1.001356051529033</v>
      </c>
      <c r="N471" s="340">
        <f t="shared" si="197"/>
        <v>5.2048456340573493E-2</v>
      </c>
      <c r="O471" s="341">
        <f t="shared" si="198"/>
        <v>1.0006907654653849</v>
      </c>
      <c r="P471" s="342">
        <f t="shared" si="199"/>
        <v>8.2067114438209063E-2</v>
      </c>
      <c r="Q471" s="343">
        <f t="shared" si="200"/>
        <v>-1.9940164610092304</v>
      </c>
      <c r="R471" s="344">
        <f t="shared" si="201"/>
        <v>-59.545949875655289</v>
      </c>
      <c r="S471" s="346">
        <f t="shared" si="202"/>
        <v>120.45405012434472</v>
      </c>
      <c r="U471" s="319">
        <f t="shared" si="208"/>
        <v>54328.5</v>
      </c>
      <c r="V471" s="319">
        <f t="shared" si="209"/>
        <v>2951585912.25</v>
      </c>
      <c r="X471" s="345">
        <f t="shared" si="203"/>
        <v>1.4140606293742959</v>
      </c>
      <c r="Y471" s="346">
        <f t="shared" si="204"/>
        <v>-9.3254573683826489</v>
      </c>
      <c r="AA471" s="345">
        <f t="shared" si="205"/>
        <v>29.815551778548858</v>
      </c>
      <c r="AB471" s="346">
        <f t="shared" si="206"/>
        <v>-50.220492507272638</v>
      </c>
      <c r="AD471">
        <f t="shared" si="210"/>
        <v>0</v>
      </c>
      <c r="AE471">
        <f t="shared" si="187"/>
        <v>0</v>
      </c>
    </row>
    <row r="472" spans="1:31" x14ac:dyDescent="0.2">
      <c r="A472" s="347">
        <v>54641.25</v>
      </c>
      <c r="B472" s="364">
        <f t="shared" si="207"/>
        <v>54.641249999999999</v>
      </c>
      <c r="C472" s="337">
        <f t="shared" si="188"/>
        <v>1.436098560705058</v>
      </c>
      <c r="D472" s="338">
        <f t="shared" si="189"/>
        <v>0.80052355711225476</v>
      </c>
      <c r="E472" s="338">
        <f t="shared" si="190"/>
        <v>1.000005207455511</v>
      </c>
      <c r="F472" s="339">
        <f t="shared" si="191"/>
        <v>3.2272071247823352E-3</v>
      </c>
      <c r="G472" s="338">
        <f t="shared" si="192"/>
        <v>1</v>
      </c>
      <c r="H472" s="339">
        <f t="shared" si="193"/>
        <v>0</v>
      </c>
      <c r="I472" s="337">
        <f t="shared" si="194"/>
        <v>593267.90587926179</v>
      </c>
      <c r="J472" s="340">
        <f t="shared" si="195"/>
        <v>1.5707946412157676</v>
      </c>
      <c r="K472" s="348">
        <f t="shared" si="211"/>
        <v>9.1022955522686093</v>
      </c>
      <c r="L472" s="349">
        <f t="shared" si="212"/>
        <v>1.4607117197143189</v>
      </c>
      <c r="M472" s="337">
        <f t="shared" si="196"/>
        <v>1.0013716983632133</v>
      </c>
      <c r="N472" s="340">
        <f t="shared" si="197"/>
        <v>5.2347535427838154E-2</v>
      </c>
      <c r="O472" s="341">
        <f t="shared" si="198"/>
        <v>1.0006987803847713</v>
      </c>
      <c r="P472" s="342">
        <f t="shared" si="199"/>
        <v>8.2539955965478959E-2</v>
      </c>
      <c r="Q472" s="343">
        <f t="shared" si="200"/>
        <v>-2.0204380709320438</v>
      </c>
      <c r="R472" s="344">
        <f t="shared" si="201"/>
        <v>-59.717486708151959</v>
      </c>
      <c r="S472" s="346">
        <f t="shared" si="202"/>
        <v>120.28251329184803</v>
      </c>
      <c r="U472" s="319">
        <f t="shared" si="208"/>
        <v>54641.25</v>
      </c>
      <c r="V472" s="319">
        <f t="shared" si="209"/>
        <v>2985666201.5625</v>
      </c>
      <c r="X472" s="345">
        <f t="shared" si="203"/>
        <v>1.4133197062604732</v>
      </c>
      <c r="Y472" s="346">
        <f t="shared" si="204"/>
        <v>-9.3065796570639563</v>
      </c>
      <c r="AA472" s="345">
        <f t="shared" si="205"/>
        <v>29.789871091739862</v>
      </c>
      <c r="AB472" s="346">
        <f t="shared" si="206"/>
        <v>-50.410907051087996</v>
      </c>
      <c r="AD472">
        <f t="shared" si="210"/>
        <v>0</v>
      </c>
      <c r="AE472">
        <f t="shared" si="187"/>
        <v>0</v>
      </c>
    </row>
    <row r="473" spans="1:31" x14ac:dyDescent="0.2">
      <c r="A473" s="347">
        <v>54954</v>
      </c>
      <c r="B473" s="364">
        <f t="shared" si="207"/>
        <v>54.954000000000001</v>
      </c>
      <c r="C473" s="337">
        <f t="shared" si="188"/>
        <v>1.4403386247078382</v>
      </c>
      <c r="D473" s="338">
        <f t="shared" si="189"/>
        <v>0.80337567965672851</v>
      </c>
      <c r="E473" s="338">
        <f t="shared" si="190"/>
        <v>1.0000052672377564</v>
      </c>
      <c r="F473" s="339">
        <f t="shared" si="191"/>
        <v>3.2456785536045325E-3</v>
      </c>
      <c r="G473" s="338">
        <f t="shared" si="192"/>
        <v>1</v>
      </c>
      <c r="H473" s="339">
        <f t="shared" si="193"/>
        <v>0</v>
      </c>
      <c r="I473" s="337">
        <f t="shared" si="194"/>
        <v>596663.59206073114</v>
      </c>
      <c r="J473" s="340">
        <f t="shared" si="195"/>
        <v>1.5707946508086066</v>
      </c>
      <c r="K473" s="348">
        <f t="shared" si="211"/>
        <v>9.1537672896115687</v>
      </c>
      <c r="L473" s="349">
        <f t="shared" si="212"/>
        <v>1.4613332180866627</v>
      </c>
      <c r="M473" s="337">
        <f t="shared" si="196"/>
        <v>1.0013874347655862</v>
      </c>
      <c r="N473" s="340">
        <f t="shared" si="197"/>
        <v>5.2646605142037312E-2</v>
      </c>
      <c r="O473" s="341">
        <f t="shared" si="198"/>
        <v>1.0007068422091541</v>
      </c>
      <c r="P473" s="342">
        <f t="shared" si="199"/>
        <v>8.3012804515114474E-2</v>
      </c>
      <c r="Q473" s="343">
        <f t="shared" si="200"/>
        <v>-2.0468462057555676</v>
      </c>
      <c r="R473" s="344">
        <f t="shared" si="201"/>
        <v>-59.888461932453104</v>
      </c>
      <c r="S473" s="346">
        <f t="shared" si="202"/>
        <v>120.11153806754689</v>
      </c>
      <c r="U473" s="319">
        <f t="shared" si="208"/>
        <v>54954</v>
      </c>
      <c r="V473" s="319">
        <f t="shared" si="209"/>
        <v>3019942116</v>
      </c>
      <c r="X473" s="345">
        <f t="shared" si="203"/>
        <v>1.4125882295587608</v>
      </c>
      <c r="Y473" s="346">
        <f t="shared" si="204"/>
        <v>-9.2881064053662765</v>
      </c>
      <c r="AA473" s="345">
        <f t="shared" si="205"/>
        <v>29.764194433618052</v>
      </c>
      <c r="AB473" s="346">
        <f t="shared" si="206"/>
        <v>-50.60035552708684</v>
      </c>
      <c r="AD473">
        <f t="shared" si="210"/>
        <v>0</v>
      </c>
      <c r="AE473">
        <f t="shared" si="187"/>
        <v>0</v>
      </c>
    </row>
    <row r="474" spans="1:31" x14ac:dyDescent="0.2">
      <c r="A474" s="347">
        <v>55274</v>
      </c>
      <c r="B474" s="364">
        <f t="shared" si="207"/>
        <v>55.274000000000001</v>
      </c>
      <c r="C474" s="337">
        <f t="shared" si="188"/>
        <v>1.4446890346361694</v>
      </c>
      <c r="D474" s="338">
        <f t="shared" si="189"/>
        <v>0.80627656612541021</v>
      </c>
      <c r="E474" s="338">
        <f t="shared" si="190"/>
        <v>1.0000053287589925</v>
      </c>
      <c r="F474" s="339">
        <f t="shared" si="191"/>
        <v>3.2645781747272038E-3</v>
      </c>
      <c r="G474" s="338">
        <f t="shared" si="192"/>
        <v>1</v>
      </c>
      <c r="H474" s="339">
        <f t="shared" si="193"/>
        <v>0</v>
      </c>
      <c r="I474" s="337">
        <f t="shared" si="194"/>
        <v>600137.99518805405</v>
      </c>
      <c r="J474" s="340">
        <f t="shared" si="195"/>
        <v>1.5707946605114618</v>
      </c>
      <c r="K474" s="348">
        <f t="shared" si="211"/>
        <v>9.2064358349445961</v>
      </c>
      <c r="L474" s="349">
        <f t="shared" si="212"/>
        <v>1.4619619305338085</v>
      </c>
      <c r="M474" s="337">
        <f t="shared" si="196"/>
        <v>1.0014036286629961</v>
      </c>
      <c r="N474" s="340">
        <f t="shared" si="197"/>
        <v>5.2952597970463665E-2</v>
      </c>
      <c r="O474" s="341">
        <f t="shared" si="198"/>
        <v>1.0007151394830101</v>
      </c>
      <c r="P474" s="342">
        <f t="shared" si="199"/>
        <v>8.3496621691214717E-2</v>
      </c>
      <c r="Q474" s="343">
        <f t="shared" si="200"/>
        <v>-2.0738519713004893</v>
      </c>
      <c r="R474" s="344">
        <f t="shared" si="201"/>
        <v>-60.062818381690136</v>
      </c>
      <c r="S474" s="346">
        <f t="shared" si="202"/>
        <v>119.93718161830986</v>
      </c>
      <c r="U474" s="319">
        <f t="shared" si="208"/>
        <v>55274</v>
      </c>
      <c r="V474" s="319">
        <f t="shared" si="209"/>
        <v>3055215076</v>
      </c>
      <c r="X474" s="345">
        <f t="shared" si="203"/>
        <v>1.4118493354393982</v>
      </c>
      <c r="Y474" s="346">
        <f t="shared" si="204"/>
        <v>-9.2696164891591053</v>
      </c>
      <c r="AA474" s="345">
        <f t="shared" si="205"/>
        <v>29.737927562192489</v>
      </c>
      <c r="AB474" s="346">
        <f t="shared" si="206"/>
        <v>-50.79320189253103</v>
      </c>
      <c r="AD474">
        <f t="shared" si="210"/>
        <v>0</v>
      </c>
      <c r="AE474">
        <f t="shared" ref="AE474:AE537" si="213">IF(AD474&gt;0,S474,0)</f>
        <v>0</v>
      </c>
    </row>
    <row r="475" spans="1:31" x14ac:dyDescent="0.2">
      <c r="A475" s="347">
        <v>55594</v>
      </c>
      <c r="B475" s="364">
        <f t="shared" si="207"/>
        <v>55.594000000000001</v>
      </c>
      <c r="C475" s="337">
        <f t="shared" si="188"/>
        <v>1.4490515287706349</v>
      </c>
      <c r="D475" s="338">
        <f t="shared" si="189"/>
        <v>0.80916001000129467</v>
      </c>
      <c r="E475" s="338">
        <f t="shared" si="190"/>
        <v>1.000005390637426</v>
      </c>
      <c r="F475" s="339">
        <f t="shared" si="191"/>
        <v>3.2834777935176799E-3</v>
      </c>
      <c r="G475" s="338">
        <f t="shared" si="192"/>
        <v>1</v>
      </c>
      <c r="H475" s="339">
        <f t="shared" si="193"/>
        <v>0</v>
      </c>
      <c r="I475" s="337">
        <f t="shared" si="194"/>
        <v>603612.39831537683</v>
      </c>
      <c r="J475" s="340">
        <f t="shared" si="195"/>
        <v>1.5707946701026172</v>
      </c>
      <c r="K475" s="348">
        <f t="shared" si="211"/>
        <v>9.2591079779899683</v>
      </c>
      <c r="L475" s="349">
        <f t="shared" si="212"/>
        <v>1.4625834901309487</v>
      </c>
      <c r="M475" s="337">
        <f t="shared" si="196"/>
        <v>1.0014199163204034</v>
      </c>
      <c r="N475" s="340">
        <f t="shared" si="197"/>
        <v>5.3258580873859596E-2</v>
      </c>
      <c r="O475" s="341">
        <f t="shared" si="198"/>
        <v>1.0007234858944414</v>
      </c>
      <c r="P475" s="342">
        <f t="shared" si="199"/>
        <v>8.3980446301722883E-2</v>
      </c>
      <c r="Q475" s="343">
        <f t="shared" si="200"/>
        <v>-2.1008424182802261</v>
      </c>
      <c r="R475" s="344">
        <f t="shared" si="201"/>
        <v>-60.236585123123795</v>
      </c>
      <c r="S475" s="346">
        <f t="shared" si="202"/>
        <v>119.7634148768762</v>
      </c>
      <c r="U475" s="319">
        <f t="shared" si="208"/>
        <v>55594</v>
      </c>
      <c r="V475" s="319">
        <f t="shared" si="209"/>
        <v>3090692836</v>
      </c>
      <c r="X475" s="345">
        <f t="shared" si="203"/>
        <v>1.4111198539834322</v>
      </c>
      <c r="Y475" s="346">
        <f t="shared" si="204"/>
        <v>-9.251535826006938</v>
      </c>
      <c r="AA475" s="345">
        <f t="shared" si="205"/>
        <v>29.711666596668724</v>
      </c>
      <c r="AB475" s="346">
        <f t="shared" si="206"/>
        <v>-50.985049297116845</v>
      </c>
      <c r="AD475">
        <f t="shared" si="210"/>
        <v>0</v>
      </c>
      <c r="AE475">
        <f t="shared" si="213"/>
        <v>0</v>
      </c>
    </row>
    <row r="476" spans="1:31" x14ac:dyDescent="0.2">
      <c r="A476" s="347">
        <v>55914</v>
      </c>
      <c r="B476" s="364">
        <f t="shared" si="207"/>
        <v>55.914000000000001</v>
      </c>
      <c r="C476" s="337">
        <f t="shared" si="188"/>
        <v>1.4534259982981075</v>
      </c>
      <c r="D476" s="338">
        <f t="shared" si="189"/>
        <v>0.81202612061522761</v>
      </c>
      <c r="E476" s="338">
        <f t="shared" si="190"/>
        <v>1.0000054528730569</v>
      </c>
      <c r="F476" s="339">
        <f t="shared" si="191"/>
        <v>3.3023774099624607E-3</v>
      </c>
      <c r="G476" s="338">
        <f t="shared" si="192"/>
        <v>1</v>
      </c>
      <c r="H476" s="339">
        <f t="shared" si="193"/>
        <v>0</v>
      </c>
      <c r="I476" s="337">
        <f t="shared" si="194"/>
        <v>607086.80144269986</v>
      </c>
      <c r="J476" s="340">
        <f t="shared" si="195"/>
        <v>1.5707946795839909</v>
      </c>
      <c r="K476" s="348">
        <f t="shared" si="211"/>
        <v>9.3117836576962638</v>
      </c>
      <c r="L476" s="349">
        <f t="shared" si="212"/>
        <v>1.463198017782227</v>
      </c>
      <c r="M476" s="337">
        <f t="shared" si="196"/>
        <v>1.0014362977332334</v>
      </c>
      <c r="N476" s="340">
        <f t="shared" si="197"/>
        <v>5.3564553795415137E-2</v>
      </c>
      <c r="O476" s="341">
        <f t="shared" si="198"/>
        <v>1.0007318814601387</v>
      </c>
      <c r="P476" s="342">
        <f t="shared" si="199"/>
        <v>8.4464278388426406E-2</v>
      </c>
      <c r="Q476" s="343">
        <f t="shared" si="200"/>
        <v>-2.1278169475623097</v>
      </c>
      <c r="R476" s="344">
        <f t="shared" si="201"/>
        <v>-60.409761492902874</v>
      </c>
      <c r="S476" s="346">
        <f t="shared" si="202"/>
        <v>119.59023850709713</v>
      </c>
      <c r="U476" s="319">
        <f t="shared" si="208"/>
        <v>55914</v>
      </c>
      <c r="V476" s="319">
        <f t="shared" si="209"/>
        <v>3126375396</v>
      </c>
      <c r="X476" s="345">
        <f t="shared" si="203"/>
        <v>1.4103995541509482</v>
      </c>
      <c r="Y476" s="346">
        <f t="shared" si="204"/>
        <v>-9.2338574854675173</v>
      </c>
      <c r="AA476" s="345">
        <f t="shared" si="205"/>
        <v>29.685412367219119</v>
      </c>
      <c r="AB476" s="346">
        <f t="shared" si="206"/>
        <v>-51.175904007435356</v>
      </c>
      <c r="AD476">
        <f t="shared" si="210"/>
        <v>0</v>
      </c>
      <c r="AE476">
        <f t="shared" si="213"/>
        <v>0</v>
      </c>
    </row>
    <row r="477" spans="1:31" x14ac:dyDescent="0.2">
      <c r="A477" s="347">
        <v>56234</v>
      </c>
      <c r="B477" s="364">
        <f t="shared" si="207"/>
        <v>56.234000000000002</v>
      </c>
      <c r="C477" s="337">
        <f t="shared" si="188"/>
        <v>1.4578123354146078</v>
      </c>
      <c r="D477" s="338">
        <f t="shared" si="189"/>
        <v>0.81487500712669181</v>
      </c>
      <c r="E477" s="338">
        <f t="shared" si="190"/>
        <v>1.0000055154658853</v>
      </c>
      <c r="F477" s="339">
        <f t="shared" si="191"/>
        <v>3.321277024048044E-3</v>
      </c>
      <c r="G477" s="338">
        <f t="shared" si="192"/>
        <v>1</v>
      </c>
      <c r="H477" s="339">
        <f t="shared" si="193"/>
        <v>0</v>
      </c>
      <c r="I477" s="337">
        <f t="shared" si="194"/>
        <v>610561.20457002276</v>
      </c>
      <c r="J477" s="340">
        <f t="shared" si="195"/>
        <v>1.5707946889574571</v>
      </c>
      <c r="K477" s="348">
        <f t="shared" si="211"/>
        <v>9.3644628143816711</v>
      </c>
      <c r="L477" s="349">
        <f t="shared" si="212"/>
        <v>1.4638056316927543</v>
      </c>
      <c r="M477" s="337">
        <f t="shared" si="196"/>
        <v>1.0014527728968852</v>
      </c>
      <c r="N477" s="340">
        <f t="shared" si="197"/>
        <v>5.3870516678331537E-2</v>
      </c>
      <c r="O477" s="341">
        <f t="shared" si="198"/>
        <v>1.0007403261968872</v>
      </c>
      <c r="P477" s="342">
        <f t="shared" si="199"/>
        <v>8.4948117993091057E-2</v>
      </c>
      <c r="Q477" s="343">
        <f t="shared" si="200"/>
        <v>-2.1547749691549396</v>
      </c>
      <c r="R477" s="344">
        <f t="shared" si="201"/>
        <v>-60.582346971997929</v>
      </c>
      <c r="S477" s="346">
        <f t="shared" si="202"/>
        <v>119.41765302800206</v>
      </c>
      <c r="U477" s="319">
        <f t="shared" si="208"/>
        <v>56234</v>
      </c>
      <c r="V477" s="319">
        <f t="shared" si="209"/>
        <v>3162262756</v>
      </c>
      <c r="X477" s="345">
        <f t="shared" si="203"/>
        <v>1.4096882113844464</v>
      </c>
      <c r="Y477" s="346">
        <f t="shared" si="204"/>
        <v>-9.2165746917399272</v>
      </c>
      <c r="AA477" s="345">
        <f t="shared" si="205"/>
        <v>29.659165688392996</v>
      </c>
      <c r="AB477" s="346">
        <f t="shared" si="206"/>
        <v>-51.365772280257993</v>
      </c>
      <c r="AD477">
        <f t="shared" si="210"/>
        <v>0</v>
      </c>
      <c r="AE477">
        <f t="shared" si="213"/>
        <v>0</v>
      </c>
    </row>
    <row r="478" spans="1:31" x14ac:dyDescent="0.2">
      <c r="A478" s="347">
        <v>56561.5</v>
      </c>
      <c r="B478" s="364">
        <f t="shared" si="207"/>
        <v>56.561500000000002</v>
      </c>
      <c r="C478" s="337">
        <f t="shared" si="188"/>
        <v>1.4623136539327202</v>
      </c>
      <c r="D478" s="338">
        <f t="shared" si="189"/>
        <v>0.81777294375866083</v>
      </c>
      <c r="E478" s="338">
        <f t="shared" si="190"/>
        <v>1.0000055798955865</v>
      </c>
      <c r="F478" s="339">
        <f t="shared" si="191"/>
        <v>3.3406195953818844E-3</v>
      </c>
      <c r="G478" s="338">
        <f t="shared" si="192"/>
        <v>1</v>
      </c>
      <c r="H478" s="339">
        <f t="shared" si="193"/>
        <v>0</v>
      </c>
      <c r="I478" s="337">
        <f t="shared" si="194"/>
        <v>614117.03902064252</v>
      </c>
      <c r="J478" s="340">
        <f t="shared" si="195"/>
        <v>1.5707946984407939</v>
      </c>
      <c r="K478" s="348">
        <f t="shared" si="211"/>
        <v>9.4183801780918106</v>
      </c>
      <c r="L478" s="349">
        <f t="shared" si="212"/>
        <v>1.4644204484485333</v>
      </c>
      <c r="M478" s="337">
        <f t="shared" si="196"/>
        <v>1.0014697312648551</v>
      </c>
      <c r="N478" s="340">
        <f t="shared" si="197"/>
        <v>5.418364011274017E-2</v>
      </c>
      <c r="O478" s="341">
        <f t="shared" si="198"/>
        <v>1.0007490197879971</v>
      </c>
      <c r="P478" s="342">
        <f t="shared" si="199"/>
        <v>8.5443305416379844E-2</v>
      </c>
      <c r="Q478" s="343">
        <f t="shared" si="200"/>
        <v>-2.1823471207447986</v>
      </c>
      <c r="R478" s="344">
        <f t="shared" si="201"/>
        <v>-60.758365201560657</v>
      </c>
      <c r="S478" s="346">
        <f t="shared" si="202"/>
        <v>119.24163479843935</v>
      </c>
      <c r="U478" s="319">
        <f t="shared" si="208"/>
        <v>56561.5</v>
      </c>
      <c r="V478" s="319">
        <f t="shared" si="209"/>
        <v>3199203282.25</v>
      </c>
      <c r="X478" s="345">
        <f t="shared" si="203"/>
        <v>1.4089692431903784</v>
      </c>
      <c r="Y478" s="346">
        <f t="shared" si="204"/>
        <v>-9.1992894810535528</v>
      </c>
      <c r="AA478" s="345">
        <f t="shared" si="205"/>
        <v>29.632312504997202</v>
      </c>
      <c r="AB478" s="346">
        <f t="shared" si="206"/>
        <v>-51.559075720507096</v>
      </c>
      <c r="AD478">
        <f t="shared" si="210"/>
        <v>0</v>
      </c>
      <c r="AE478">
        <f t="shared" si="213"/>
        <v>0</v>
      </c>
    </row>
    <row r="479" spans="1:31" x14ac:dyDescent="0.2">
      <c r="A479" s="347">
        <v>56889</v>
      </c>
      <c r="B479" s="364">
        <f t="shared" si="207"/>
        <v>56.889000000000003</v>
      </c>
      <c r="C479" s="337">
        <f t="shared" si="188"/>
        <v>1.4668271775828146</v>
      </c>
      <c r="D479" s="338">
        <f t="shared" si="189"/>
        <v>0.82065307017126055</v>
      </c>
      <c r="E479" s="338">
        <f t="shared" si="190"/>
        <v>1.0000056446994245</v>
      </c>
      <c r="F479" s="339">
        <f t="shared" si="191"/>
        <v>3.3599621642160294E-3</v>
      </c>
      <c r="G479" s="338">
        <f t="shared" si="192"/>
        <v>1</v>
      </c>
      <c r="H479" s="339">
        <f t="shared" si="193"/>
        <v>0</v>
      </c>
      <c r="I479" s="337">
        <f t="shared" si="194"/>
        <v>617672.87347126217</v>
      </c>
      <c r="J479" s="340">
        <f t="shared" si="195"/>
        <v>1.5707947078149431</v>
      </c>
      <c r="K479" s="348">
        <f t="shared" si="211"/>
        <v>9.4723010614160614</v>
      </c>
      <c r="L479" s="349">
        <f t="shared" si="212"/>
        <v>1.4650282657678528</v>
      </c>
      <c r="M479" s="337">
        <f t="shared" si="196"/>
        <v>1.001486787819881</v>
      </c>
      <c r="N479" s="340">
        <f t="shared" si="197"/>
        <v>5.4496752912091023E-2</v>
      </c>
      <c r="O479" s="341">
        <f t="shared" si="198"/>
        <v>1.0007577649179449</v>
      </c>
      <c r="P479" s="342">
        <f t="shared" si="199"/>
        <v>8.593850080261202E-2</v>
      </c>
      <c r="Q479" s="343">
        <f t="shared" si="200"/>
        <v>-2.2099007607169492</v>
      </c>
      <c r="R479" s="344">
        <f t="shared" si="201"/>
        <v>-60.933763859675068</v>
      </c>
      <c r="S479" s="346">
        <f t="shared" si="202"/>
        <v>119.06623614032493</v>
      </c>
      <c r="U479" s="319">
        <f t="shared" si="208"/>
        <v>56889</v>
      </c>
      <c r="V479" s="319">
        <f t="shared" si="209"/>
        <v>3236358321</v>
      </c>
      <c r="X479" s="345">
        <f t="shared" si="203"/>
        <v>1.4082592007906012</v>
      </c>
      <c r="Y479" s="346">
        <f t="shared" si="204"/>
        <v>-9.182404692935803</v>
      </c>
      <c r="AA479" s="345">
        <f t="shared" si="205"/>
        <v>29.605468907424832</v>
      </c>
      <c r="AB479" s="346">
        <f t="shared" si="206"/>
        <v>-51.751359166739249</v>
      </c>
      <c r="AD479">
        <f t="shared" si="210"/>
        <v>0</v>
      </c>
      <c r="AE479">
        <f t="shared" si="213"/>
        <v>0</v>
      </c>
    </row>
    <row r="480" spans="1:31" x14ac:dyDescent="0.2">
      <c r="A480" s="347">
        <v>57216.5</v>
      </c>
      <c r="B480" s="364">
        <f t="shared" si="207"/>
        <v>57.216500000000003</v>
      </c>
      <c r="C480" s="337">
        <f t="shared" si="188"/>
        <v>1.4713527940434619</v>
      </c>
      <c r="D480" s="338">
        <f t="shared" si="189"/>
        <v>0.82351550270540463</v>
      </c>
      <c r="E480" s="338">
        <f t="shared" si="190"/>
        <v>1.0000057098773998</v>
      </c>
      <c r="F480" s="339">
        <f t="shared" si="191"/>
        <v>3.3793047305360068E-3</v>
      </c>
      <c r="G480" s="338">
        <f t="shared" si="192"/>
        <v>1</v>
      </c>
      <c r="H480" s="339">
        <f t="shared" si="193"/>
        <v>0</v>
      </c>
      <c r="I480" s="337">
        <f t="shared" si="194"/>
        <v>621228.70792188216</v>
      </c>
      <c r="J480" s="340">
        <f t="shared" si="195"/>
        <v>1.5707947170817793</v>
      </c>
      <c r="K480" s="348">
        <f t="shared" si="211"/>
        <v>9.526225404588665</v>
      </c>
      <c r="L480" s="349">
        <f t="shared" si="212"/>
        <v>1.4656292020612023</v>
      </c>
      <c r="M480" s="337">
        <f t="shared" si="196"/>
        <v>1.0015039425569461</v>
      </c>
      <c r="N480" s="340">
        <f t="shared" si="197"/>
        <v>5.4809855015534127E-2</v>
      </c>
      <c r="O480" s="341">
        <f t="shared" si="198"/>
        <v>1.0007665616050361</v>
      </c>
      <c r="P480" s="342">
        <f t="shared" si="199"/>
        <v>8.6433704196487993E-2</v>
      </c>
      <c r="Q480" s="343">
        <f t="shared" si="200"/>
        <v>-2.237435286398048</v>
      </c>
      <c r="R480" s="344">
        <f t="shared" si="201"/>
        <v>-61.108542826946142</v>
      </c>
      <c r="S480" s="346">
        <f t="shared" si="202"/>
        <v>118.89145717305385</v>
      </c>
      <c r="U480" s="319">
        <f t="shared" si="208"/>
        <v>57216.5</v>
      </c>
      <c r="V480" s="319">
        <f t="shared" si="209"/>
        <v>3273727872.25</v>
      </c>
      <c r="X480" s="345">
        <f t="shared" si="203"/>
        <v>1.4075578631709307</v>
      </c>
      <c r="Y480" s="346">
        <f t="shared" si="204"/>
        <v>-9.1659135395863593</v>
      </c>
      <c r="AA480" s="345">
        <f t="shared" si="205"/>
        <v>29.578635719363398</v>
      </c>
      <c r="AB480" s="346">
        <f t="shared" si="206"/>
        <v>-51.942629287359765</v>
      </c>
      <c r="AD480">
        <f t="shared" si="210"/>
        <v>0</v>
      </c>
      <c r="AE480">
        <f t="shared" si="213"/>
        <v>0</v>
      </c>
    </row>
    <row r="481" spans="1:31" x14ac:dyDescent="0.2">
      <c r="A481" s="347">
        <v>57544</v>
      </c>
      <c r="B481" s="364">
        <f t="shared" si="207"/>
        <v>57.543999999999997</v>
      </c>
      <c r="C481" s="337">
        <f t="shared" si="188"/>
        <v>1.4758903920718065</v>
      </c>
      <c r="D481" s="338">
        <f t="shared" si="189"/>
        <v>0.82636035743677971</v>
      </c>
      <c r="E481" s="338">
        <f t="shared" si="190"/>
        <v>1.0000057754295117</v>
      </c>
      <c r="F481" s="339">
        <f t="shared" si="191"/>
        <v>3.3986472943273436E-3</v>
      </c>
      <c r="G481" s="338">
        <f t="shared" si="192"/>
        <v>1</v>
      </c>
      <c r="H481" s="339">
        <f t="shared" si="193"/>
        <v>0</v>
      </c>
      <c r="I481" s="337">
        <f t="shared" si="194"/>
        <v>624784.54237250192</v>
      </c>
      <c r="J481" s="340">
        <f t="shared" si="195"/>
        <v>1.570794726243135</v>
      </c>
      <c r="K481" s="348">
        <f t="shared" si="211"/>
        <v>9.5801531491856959</v>
      </c>
      <c r="L481" s="349">
        <f t="shared" si="212"/>
        <v>1.4662233730930245</v>
      </c>
      <c r="M481" s="337">
        <f t="shared" si="196"/>
        <v>1.0015211954710055</v>
      </c>
      <c r="N481" s="340">
        <f t="shared" si="197"/>
        <v>5.5122946362232042E-2</v>
      </c>
      <c r="O481" s="341">
        <f t="shared" si="198"/>
        <v>1.0007754098676802</v>
      </c>
      <c r="P481" s="342">
        <f t="shared" si="199"/>
        <v>8.6928915642683804E-2</v>
      </c>
      <c r="Q481" s="343">
        <f t="shared" si="200"/>
        <v>-2.2649501051447416</v>
      </c>
      <c r="R481" s="344">
        <f t="shared" si="201"/>
        <v>-61.282702120386659</v>
      </c>
      <c r="S481" s="346">
        <f t="shared" si="202"/>
        <v>118.71729787961334</v>
      </c>
      <c r="U481" s="319">
        <f t="shared" si="208"/>
        <v>57544</v>
      </c>
      <c r="V481" s="319">
        <f t="shared" si="209"/>
        <v>3311311936</v>
      </c>
      <c r="X481" s="345">
        <f t="shared" si="203"/>
        <v>1.4068650155227309</v>
      </c>
      <c r="Y481" s="346">
        <f t="shared" si="204"/>
        <v>-9.1498093848104851</v>
      </c>
      <c r="AA481" s="345">
        <f t="shared" si="205"/>
        <v>29.551813748264905</v>
      </c>
      <c r="AB481" s="346">
        <f t="shared" si="206"/>
        <v>-52.132892735576171</v>
      </c>
      <c r="AD481">
        <f t="shared" si="210"/>
        <v>0</v>
      </c>
      <c r="AE481">
        <f t="shared" si="213"/>
        <v>0</v>
      </c>
    </row>
    <row r="482" spans="1:31" x14ac:dyDescent="0.2">
      <c r="A482" s="347">
        <v>57879</v>
      </c>
      <c r="B482" s="364">
        <f t="shared" si="207"/>
        <v>57.878999999999998</v>
      </c>
      <c r="C482" s="337">
        <f t="shared" si="188"/>
        <v>1.4805441860000252</v>
      </c>
      <c r="D482" s="338">
        <f t="shared" si="189"/>
        <v>0.82925229599672434</v>
      </c>
      <c r="E482" s="338">
        <f t="shared" si="190"/>
        <v>1.0000058428699043</v>
      </c>
      <c r="F482" s="339">
        <f t="shared" si="191"/>
        <v>3.418432814963564E-3</v>
      </c>
      <c r="G482" s="338">
        <f t="shared" si="192"/>
        <v>1</v>
      </c>
      <c r="H482" s="339">
        <f t="shared" si="193"/>
        <v>0</v>
      </c>
      <c r="I482" s="337">
        <f t="shared" si="194"/>
        <v>628421.80814641842</v>
      </c>
      <c r="J482" s="340">
        <f t="shared" si="195"/>
        <v>1.5707947355070275</v>
      </c>
      <c r="K482" s="348">
        <f t="shared" si="211"/>
        <v>9.6353193399193593</v>
      </c>
      <c r="L482" s="349">
        <f t="shared" si="212"/>
        <v>1.4668242696535496</v>
      </c>
      <c r="M482" s="337">
        <f t="shared" si="196"/>
        <v>1.0015389450599075</v>
      </c>
      <c r="N482" s="340">
        <f t="shared" si="197"/>
        <v>5.5443196547287549E-2</v>
      </c>
      <c r="O482" s="341">
        <f t="shared" si="198"/>
        <v>1.000784514142353</v>
      </c>
      <c r="P482" s="342">
        <f t="shared" si="199"/>
        <v>8.7435476186608893E-2</v>
      </c>
      <c r="Q482" s="343">
        <f t="shared" si="200"/>
        <v>-2.2930740378460812</v>
      </c>
      <c r="R482" s="344">
        <f t="shared" si="201"/>
        <v>-61.460208827024196</v>
      </c>
      <c r="S482" s="346">
        <f t="shared" si="202"/>
        <v>118.53979117297581</v>
      </c>
      <c r="U482" s="319">
        <f t="shared" si="208"/>
        <v>57879</v>
      </c>
      <c r="V482" s="319">
        <f t="shared" si="209"/>
        <v>3349978641</v>
      </c>
      <c r="X482" s="345">
        <f t="shared" si="203"/>
        <v>1.4061648673199887</v>
      </c>
      <c r="Y482" s="346">
        <f t="shared" si="204"/>
        <v>-9.1337300627240019</v>
      </c>
      <c r="AA482" s="345">
        <f t="shared" si="205"/>
        <v>29.524389963766311</v>
      </c>
      <c r="AB482" s="346">
        <f t="shared" si="206"/>
        <v>-52.326478764300177</v>
      </c>
      <c r="AD482">
        <f t="shared" si="210"/>
        <v>0</v>
      </c>
      <c r="AE482">
        <f t="shared" si="213"/>
        <v>0</v>
      </c>
    </row>
    <row r="483" spans="1:31" x14ac:dyDescent="0.2">
      <c r="A483" s="347">
        <v>58214</v>
      </c>
      <c r="B483" s="364">
        <f t="shared" si="207"/>
        <v>58.213999999999999</v>
      </c>
      <c r="C483" s="337">
        <f t="shared" si="188"/>
        <v>1.4852102845183575</v>
      </c>
      <c r="D483" s="338">
        <f t="shared" si="189"/>
        <v>0.83212608720672554</v>
      </c>
      <c r="E483" s="338">
        <f t="shared" si="190"/>
        <v>1.000005910701766</v>
      </c>
      <c r="F483" s="339">
        <f t="shared" si="191"/>
        <v>3.4382183329233684E-3</v>
      </c>
      <c r="G483" s="338">
        <f t="shared" si="192"/>
        <v>1</v>
      </c>
      <c r="H483" s="339">
        <f t="shared" si="193"/>
        <v>0</v>
      </c>
      <c r="I483" s="337">
        <f t="shared" si="194"/>
        <v>632059.07392033504</v>
      </c>
      <c r="J483" s="340">
        <f t="shared" si="195"/>
        <v>1.5707947446642996</v>
      </c>
      <c r="K483" s="348">
        <f t="shared" si="211"/>
        <v>9.690488970129735</v>
      </c>
      <c r="L483" s="349">
        <f t="shared" si="212"/>
        <v>1.4674183244103889</v>
      </c>
      <c r="M483" s="337">
        <f t="shared" si="196"/>
        <v>1.0015567973631785</v>
      </c>
      <c r="N483" s="340">
        <f t="shared" si="197"/>
        <v>5.5763435348552361E-2</v>
      </c>
      <c r="O483" s="341">
        <f t="shared" si="198"/>
        <v>1.0007936724211695</v>
      </c>
      <c r="P483" s="342">
        <f t="shared" si="199"/>
        <v>8.794204525036875E-2</v>
      </c>
      <c r="Q483" s="343">
        <f t="shared" si="200"/>
        <v>-2.3211761283142036</v>
      </c>
      <c r="R483" s="344">
        <f t="shared" si="201"/>
        <v>-61.6370676035272</v>
      </c>
      <c r="S483" s="346">
        <f t="shared" si="202"/>
        <v>118.3629323964728</v>
      </c>
      <c r="U483" s="319">
        <f t="shared" si="208"/>
        <v>58214</v>
      </c>
      <c r="V483" s="319">
        <f t="shared" si="209"/>
        <v>3388869796</v>
      </c>
      <c r="X483" s="345">
        <f t="shared" si="203"/>
        <v>1.4054731667220401</v>
      </c>
      <c r="Y483" s="346">
        <f t="shared" si="204"/>
        <v>-9.1180420887613618</v>
      </c>
      <c r="AA483" s="345">
        <f t="shared" si="205"/>
        <v>29.496979573896134</v>
      </c>
      <c r="AB483" s="346">
        <f t="shared" si="206"/>
        <v>-52.519025514765815</v>
      </c>
      <c r="AD483">
        <f t="shared" si="210"/>
        <v>0</v>
      </c>
      <c r="AE483">
        <f t="shared" si="213"/>
        <v>0</v>
      </c>
    </row>
    <row r="484" spans="1:31" x14ac:dyDescent="0.2">
      <c r="A484" s="347">
        <v>58549</v>
      </c>
      <c r="B484" s="364">
        <f t="shared" si="207"/>
        <v>58.548999999999999</v>
      </c>
      <c r="C484" s="337">
        <f t="shared" si="188"/>
        <v>1.4898885720186386</v>
      </c>
      <c r="D484" s="338">
        <f t="shared" si="189"/>
        <v>0.83498185432543603</v>
      </c>
      <c r="E484" s="338">
        <f t="shared" si="190"/>
        <v>1.0000059789250966</v>
      </c>
      <c r="F484" s="339">
        <f t="shared" si="191"/>
        <v>3.4580038481912662E-3</v>
      </c>
      <c r="G484" s="338">
        <f t="shared" si="192"/>
        <v>1</v>
      </c>
      <c r="H484" s="339">
        <f t="shared" si="193"/>
        <v>0</v>
      </c>
      <c r="I484" s="337">
        <f t="shared" si="194"/>
        <v>635696.33969425166</v>
      </c>
      <c r="J484" s="340">
        <f t="shared" si="195"/>
        <v>1.5707947537167812</v>
      </c>
      <c r="K484" s="348">
        <f t="shared" si="211"/>
        <v>9.7456619814047869</v>
      </c>
      <c r="L484" s="349">
        <f t="shared" si="212"/>
        <v>1.4680056531409447</v>
      </c>
      <c r="M484" s="337">
        <f t="shared" si="196"/>
        <v>1.0015747523753253</v>
      </c>
      <c r="N484" s="340">
        <f t="shared" si="197"/>
        <v>5.6083662700954134E-2</v>
      </c>
      <c r="O484" s="341">
        <f t="shared" si="198"/>
        <v>1.0008028847241741</v>
      </c>
      <c r="P484" s="342">
        <f t="shared" si="199"/>
        <v>8.8448622881699704E-2</v>
      </c>
      <c r="Q484" s="343">
        <f t="shared" si="200"/>
        <v>-2.3492557746731495</v>
      </c>
      <c r="R484" s="344">
        <f t="shared" si="201"/>
        <v>-61.813278877652174</v>
      </c>
      <c r="S484" s="346">
        <f t="shared" si="202"/>
        <v>118.18672112234782</v>
      </c>
      <c r="U484" s="319">
        <f t="shared" si="208"/>
        <v>58549</v>
      </c>
      <c r="V484" s="319">
        <f t="shared" si="209"/>
        <v>3427985401</v>
      </c>
      <c r="X484" s="345">
        <f t="shared" si="203"/>
        <v>1.4047897026503757</v>
      </c>
      <c r="Y484" s="346">
        <f t="shared" si="204"/>
        <v>-9.1027388257425219</v>
      </c>
      <c r="AA484" s="345">
        <f t="shared" si="205"/>
        <v>29.46958339160885</v>
      </c>
      <c r="AB484" s="346">
        <f t="shared" si="206"/>
        <v>-52.710540051909653</v>
      </c>
      <c r="AD484">
        <f t="shared" si="210"/>
        <v>0</v>
      </c>
      <c r="AE484">
        <f t="shared" si="213"/>
        <v>0</v>
      </c>
    </row>
    <row r="485" spans="1:31" x14ac:dyDescent="0.2">
      <c r="A485" s="347">
        <v>58884</v>
      </c>
      <c r="B485" s="364">
        <f t="shared" si="207"/>
        <v>58.884</v>
      </c>
      <c r="C485" s="337">
        <f t="shared" si="188"/>
        <v>1.494578934040083</v>
      </c>
      <c r="D485" s="338">
        <f t="shared" si="189"/>
        <v>0.83781972024622986</v>
      </c>
      <c r="E485" s="338">
        <f t="shared" si="190"/>
        <v>1.000006047539896</v>
      </c>
      <c r="F485" s="339">
        <f t="shared" si="191"/>
        <v>3.4777893607517677E-3</v>
      </c>
      <c r="G485" s="338">
        <f t="shared" si="192"/>
        <v>1</v>
      </c>
      <c r="H485" s="339">
        <f t="shared" si="193"/>
        <v>0</v>
      </c>
      <c r="I485" s="337">
        <f t="shared" si="194"/>
        <v>639333.60546816839</v>
      </c>
      <c r="J485" s="340">
        <f t="shared" si="195"/>
        <v>1.5707947626662611</v>
      </c>
      <c r="K485" s="348">
        <f t="shared" si="211"/>
        <v>9.8008383166442439</v>
      </c>
      <c r="L485" s="349">
        <f t="shared" si="212"/>
        <v>1.4685863690342267</v>
      </c>
      <c r="M485" s="337">
        <f t="shared" si="196"/>
        <v>1.0015928100908249</v>
      </c>
      <c r="N485" s="340">
        <f t="shared" si="197"/>
        <v>5.6403878539434578E-2</v>
      </c>
      <c r="O485" s="341">
        <f t="shared" si="198"/>
        <v>1.0008121510715267</v>
      </c>
      <c r="P485" s="342">
        <f t="shared" si="199"/>
        <v>8.895520912831073E-2</v>
      </c>
      <c r="Q485" s="343">
        <f t="shared" si="200"/>
        <v>-2.3773123859023264</v>
      </c>
      <c r="R485" s="344">
        <f t="shared" si="201"/>
        <v>-61.988843204527591</v>
      </c>
      <c r="S485" s="346">
        <f t="shared" si="202"/>
        <v>118.0111567954724</v>
      </c>
      <c r="U485" s="319">
        <f t="shared" si="208"/>
        <v>58884</v>
      </c>
      <c r="V485" s="319">
        <f t="shared" si="209"/>
        <v>3467325456</v>
      </c>
      <c r="X485" s="345">
        <f t="shared" si="203"/>
        <v>1.404114269954144</v>
      </c>
      <c r="Y485" s="346">
        <f t="shared" si="204"/>
        <v>-9.0878137847898248</v>
      </c>
      <c r="AA485" s="345">
        <f t="shared" si="205"/>
        <v>29.442202213075909</v>
      </c>
      <c r="AB485" s="346">
        <f t="shared" si="206"/>
        <v>-52.901029419737782</v>
      </c>
      <c r="AD485">
        <f t="shared" si="210"/>
        <v>0</v>
      </c>
      <c r="AE485">
        <f t="shared" si="213"/>
        <v>0</v>
      </c>
    </row>
    <row r="486" spans="1:31" x14ac:dyDescent="0.2">
      <c r="A486" s="347">
        <v>59227</v>
      </c>
      <c r="B486" s="364">
        <f t="shared" si="207"/>
        <v>59.226999999999997</v>
      </c>
      <c r="C486" s="337">
        <f t="shared" si="188"/>
        <v>1.4993936968498507</v>
      </c>
      <c r="D486" s="338">
        <f t="shared" si="189"/>
        <v>0.84070693650245631</v>
      </c>
      <c r="E486" s="338">
        <f t="shared" si="190"/>
        <v>1.0000061181988611</v>
      </c>
      <c r="F486" s="339">
        <f t="shared" si="191"/>
        <v>3.4980473603431327E-3</v>
      </c>
      <c r="G486" s="338">
        <f t="shared" si="192"/>
        <v>1</v>
      </c>
      <c r="H486" s="339">
        <f t="shared" si="193"/>
        <v>0</v>
      </c>
      <c r="I486" s="337">
        <f t="shared" si="194"/>
        <v>643057.73132026824</v>
      </c>
      <c r="J486" s="340">
        <f t="shared" si="195"/>
        <v>1.5707947717245643</v>
      </c>
      <c r="K486" s="348">
        <f t="shared" si="211"/>
        <v>9.8573356813965898</v>
      </c>
      <c r="L486" s="349">
        <f t="shared" si="212"/>
        <v>1.4691742167347879</v>
      </c>
      <c r="M486" s="337">
        <f t="shared" si="196"/>
        <v>1.0016114054411138</v>
      </c>
      <c r="N486" s="340">
        <f t="shared" si="197"/>
        <v>5.6731729325739146E-2</v>
      </c>
      <c r="O486" s="341">
        <f t="shared" si="198"/>
        <v>1.0008216947216346</v>
      </c>
      <c r="P486" s="342">
        <f t="shared" si="199"/>
        <v>8.9473901933070366E-2</v>
      </c>
      <c r="Q486" s="343">
        <f t="shared" si="200"/>
        <v>-2.4060145330396225</v>
      </c>
      <c r="R486" s="344">
        <f t="shared" si="201"/>
        <v>-62.167930514583347</v>
      </c>
      <c r="S486" s="346">
        <f t="shared" si="202"/>
        <v>117.83206948541665</v>
      </c>
      <c r="U486" s="319">
        <f t="shared" si="208"/>
        <v>59227</v>
      </c>
      <c r="V486" s="319">
        <f t="shared" si="209"/>
        <v>3507837529</v>
      </c>
      <c r="X486" s="345">
        <f t="shared" si="203"/>
        <v>1.4034308206467769</v>
      </c>
      <c r="Y486" s="346">
        <f t="shared" si="204"/>
        <v>-9.072917577902027</v>
      </c>
      <c r="AA486" s="345">
        <f t="shared" si="205"/>
        <v>29.414183515245981</v>
      </c>
      <c r="AB486" s="346">
        <f t="shared" si="206"/>
        <v>-53.095012936681343</v>
      </c>
      <c r="AD486">
        <f t="shared" si="210"/>
        <v>0</v>
      </c>
      <c r="AE486">
        <f t="shared" si="213"/>
        <v>0</v>
      </c>
    </row>
    <row r="487" spans="1:31" x14ac:dyDescent="0.2">
      <c r="A487" s="347">
        <v>59570</v>
      </c>
      <c r="B487" s="364">
        <f t="shared" si="207"/>
        <v>59.57</v>
      </c>
      <c r="C487" s="337">
        <f t="shared" si="188"/>
        <v>1.5042208785571802</v>
      </c>
      <c r="D487" s="338">
        <f t="shared" si="189"/>
        <v>0.84357564586520717</v>
      </c>
      <c r="E487" s="338">
        <f t="shared" si="190"/>
        <v>1.0000061892682151</v>
      </c>
      <c r="F487" s="339">
        <f t="shared" si="191"/>
        <v>3.5183053570633834E-3</v>
      </c>
      <c r="G487" s="338">
        <f t="shared" si="192"/>
        <v>1</v>
      </c>
      <c r="H487" s="339">
        <f t="shared" si="193"/>
        <v>0</v>
      </c>
      <c r="I487" s="337">
        <f t="shared" si="194"/>
        <v>646781.85717236821</v>
      </c>
      <c r="J487" s="340">
        <f t="shared" si="195"/>
        <v>1.5707947806785532</v>
      </c>
      <c r="K487" s="348">
        <f t="shared" si="211"/>
        <v>9.9138364136731827</v>
      </c>
      <c r="L487" s="349">
        <f t="shared" si="212"/>
        <v>1.4697553641352579</v>
      </c>
      <c r="M487" s="337">
        <f t="shared" si="196"/>
        <v>1.0016301084467401</v>
      </c>
      <c r="N487" s="340">
        <f t="shared" si="197"/>
        <v>5.705956790364896E-2</v>
      </c>
      <c r="O487" s="341">
        <f t="shared" si="198"/>
        <v>1.0008312950712741</v>
      </c>
      <c r="P487" s="342">
        <f t="shared" si="199"/>
        <v>8.9992603870635152E-2</v>
      </c>
      <c r="Q487" s="343">
        <f t="shared" si="200"/>
        <v>-2.43469131241091</v>
      </c>
      <c r="R487" s="344">
        <f t="shared" si="201"/>
        <v>-62.346341174636414</v>
      </c>
      <c r="S487" s="346">
        <f t="shared" si="202"/>
        <v>117.65365882536358</v>
      </c>
      <c r="U487" s="319">
        <f t="shared" si="208"/>
        <v>59570</v>
      </c>
      <c r="V487" s="319">
        <f t="shared" si="209"/>
        <v>3548584900</v>
      </c>
      <c r="X487" s="345">
        <f t="shared" si="203"/>
        <v>1.4027553738085505</v>
      </c>
      <c r="Y487" s="346">
        <f t="shared" si="204"/>
        <v>-9.0584045644650857</v>
      </c>
      <c r="AA487" s="345">
        <f t="shared" si="205"/>
        <v>29.386182182712915</v>
      </c>
      <c r="AB487" s="346">
        <f t="shared" si="206"/>
        <v>-53.287936610171336</v>
      </c>
      <c r="AD487">
        <f t="shared" si="210"/>
        <v>0</v>
      </c>
      <c r="AE487">
        <f t="shared" si="213"/>
        <v>0</v>
      </c>
    </row>
    <row r="488" spans="1:31" x14ac:dyDescent="0.2">
      <c r="A488" s="347">
        <v>59913</v>
      </c>
      <c r="B488" s="364">
        <f t="shared" si="207"/>
        <v>59.912999999999997</v>
      </c>
      <c r="C488" s="337">
        <f t="shared" si="188"/>
        <v>1.5090603599853818</v>
      </c>
      <c r="D488" s="338">
        <f t="shared" si="189"/>
        <v>0.84642597894353622</v>
      </c>
      <c r="E488" s="338">
        <f t="shared" si="190"/>
        <v>1.0000062607479581</v>
      </c>
      <c r="F488" s="339">
        <f t="shared" si="191"/>
        <v>3.5385633508958933E-3</v>
      </c>
      <c r="G488" s="338">
        <f t="shared" si="192"/>
        <v>1</v>
      </c>
      <c r="H488" s="339">
        <f t="shared" si="193"/>
        <v>0</v>
      </c>
      <c r="I488" s="337">
        <f t="shared" si="194"/>
        <v>650505.98302446818</v>
      </c>
      <c r="J488" s="340">
        <f t="shared" si="195"/>
        <v>1.5707947895300196</v>
      </c>
      <c r="K488" s="348">
        <f t="shared" si="211"/>
        <v>9.9703404562239459</v>
      </c>
      <c r="L488" s="349">
        <f t="shared" si="212"/>
        <v>1.4703299247557988</v>
      </c>
      <c r="M488" s="337">
        <f t="shared" si="196"/>
        <v>1.0016489191016738</v>
      </c>
      <c r="N488" s="340">
        <f t="shared" si="197"/>
        <v>5.7387394203378933E-2</v>
      </c>
      <c r="O488" s="341">
        <f t="shared" si="198"/>
        <v>1.0008409521424568</v>
      </c>
      <c r="P488" s="342">
        <f t="shared" si="199"/>
        <v>9.0511314992124489E-2</v>
      </c>
      <c r="Q488" s="343">
        <f t="shared" si="200"/>
        <v>-2.4633421246621916</v>
      </c>
      <c r="R488" s="344">
        <f t="shared" si="201"/>
        <v>-62.52407616284232</v>
      </c>
      <c r="S488" s="346">
        <f t="shared" si="202"/>
        <v>117.47592383715768</v>
      </c>
      <c r="U488" s="319">
        <f t="shared" si="208"/>
        <v>59913</v>
      </c>
      <c r="V488" s="319">
        <f t="shared" si="209"/>
        <v>3589567569</v>
      </c>
      <c r="X488" s="345">
        <f t="shared" si="203"/>
        <v>1.4020877272826371</v>
      </c>
      <c r="Y488" s="346">
        <f t="shared" si="204"/>
        <v>-9.0442682363571034</v>
      </c>
      <c r="AA488" s="345">
        <f t="shared" si="205"/>
        <v>29.358199016987552</v>
      </c>
      <c r="AB488" s="346">
        <f t="shared" si="206"/>
        <v>-53.479807926485201</v>
      </c>
      <c r="AD488">
        <f t="shared" si="210"/>
        <v>0</v>
      </c>
      <c r="AE488">
        <f t="shared" si="213"/>
        <v>0</v>
      </c>
    </row>
    <row r="489" spans="1:31" x14ac:dyDescent="0.2">
      <c r="A489" s="347">
        <v>60256</v>
      </c>
      <c r="B489" s="364">
        <f t="shared" si="207"/>
        <v>60.256</v>
      </c>
      <c r="C489" s="337">
        <f t="shared" si="188"/>
        <v>1.5139120231799092</v>
      </c>
      <c r="D489" s="338">
        <f t="shared" si="189"/>
        <v>0.84925806587297936</v>
      </c>
      <c r="E489" s="338">
        <f t="shared" si="190"/>
        <v>1.0000063326380899</v>
      </c>
      <c r="F489" s="339">
        <f t="shared" si="191"/>
        <v>3.5588213418240354E-3</v>
      </c>
      <c r="G489" s="338">
        <f t="shared" si="192"/>
        <v>1</v>
      </c>
      <c r="H489" s="339">
        <f t="shared" si="193"/>
        <v>0</v>
      </c>
      <c r="I489" s="337">
        <f t="shared" si="194"/>
        <v>654230.10887656803</v>
      </c>
      <c r="J489" s="340">
        <f t="shared" si="195"/>
        <v>1.5707947982807142</v>
      </c>
      <c r="K489" s="348">
        <f t="shared" si="211"/>
        <v>10.026847753085965</v>
      </c>
      <c r="L489" s="349">
        <f t="shared" si="212"/>
        <v>1.4708980095751785</v>
      </c>
      <c r="M489" s="337">
        <f t="shared" si="196"/>
        <v>1.0016678373998498</v>
      </c>
      <c r="N489" s="340">
        <f t="shared" si="197"/>
        <v>5.7715208155159743E-2</v>
      </c>
      <c r="O489" s="341">
        <f t="shared" si="198"/>
        <v>1.0008506659573209</v>
      </c>
      <c r="P489" s="342">
        <f t="shared" si="199"/>
        <v>9.1030035348627067E-2</v>
      </c>
      <c r="Q489" s="343">
        <f t="shared" si="200"/>
        <v>-2.4919663821156073</v>
      </c>
      <c r="R489" s="344">
        <f t="shared" si="201"/>
        <v>-62.701136575833914</v>
      </c>
      <c r="S489" s="346">
        <f t="shared" si="202"/>
        <v>117.29886342416609</v>
      </c>
      <c r="U489" s="319">
        <f t="shared" si="208"/>
        <v>60256</v>
      </c>
      <c r="V489" s="319">
        <f t="shared" si="209"/>
        <v>3630785536</v>
      </c>
      <c r="X489" s="345">
        <f t="shared" si="203"/>
        <v>1.4014276845956619</v>
      </c>
      <c r="Y489" s="346">
        <f t="shared" si="204"/>
        <v>-9.0305022310658849</v>
      </c>
      <c r="AA489" s="345">
        <f t="shared" si="205"/>
        <v>29.33023480222111</v>
      </c>
      <c r="AB489" s="346">
        <f t="shared" si="206"/>
        <v>-53.670634344768033</v>
      </c>
      <c r="AD489">
        <f t="shared" si="210"/>
        <v>0</v>
      </c>
      <c r="AE489">
        <f t="shared" si="213"/>
        <v>0</v>
      </c>
    </row>
    <row r="490" spans="1:31" x14ac:dyDescent="0.2">
      <c r="A490" s="347">
        <v>60607</v>
      </c>
      <c r="B490" s="364">
        <f t="shared" si="207"/>
        <v>60.606999999999999</v>
      </c>
      <c r="C490" s="337">
        <f t="shared" si="188"/>
        <v>1.5188893341729366</v>
      </c>
      <c r="D490" s="338">
        <f t="shared" si="189"/>
        <v>0.85213745310405764</v>
      </c>
      <c r="E490" s="338">
        <f t="shared" si="190"/>
        <v>1.0000064066298175</v>
      </c>
      <c r="F490" s="339">
        <f t="shared" si="191"/>
        <v>3.5795518193123925E-3</v>
      </c>
      <c r="G490" s="338">
        <f t="shared" si="192"/>
        <v>1</v>
      </c>
      <c r="H490" s="339">
        <f t="shared" si="193"/>
        <v>0</v>
      </c>
      <c r="I490" s="337">
        <f t="shared" si="194"/>
        <v>658041.09480685124</v>
      </c>
      <c r="J490" s="340">
        <f t="shared" si="195"/>
        <v>1.5707948071329669</v>
      </c>
      <c r="K490" s="348">
        <f t="shared" si="211"/>
        <v>10.084676316370079</v>
      </c>
      <c r="L490" s="349">
        <f t="shared" si="212"/>
        <v>1.4714727532572787</v>
      </c>
      <c r="M490" s="337">
        <f t="shared" si="196"/>
        <v>1.0016873083732336</v>
      </c>
      <c r="N490" s="340">
        <f t="shared" si="197"/>
        <v>5.8050655057316013E-2</v>
      </c>
      <c r="O490" s="341">
        <f t="shared" si="198"/>
        <v>1.0008606651010112</v>
      </c>
      <c r="P490" s="342">
        <f t="shared" si="199"/>
        <v>9.1560863752985389E-2</v>
      </c>
      <c r="Q490" s="343">
        <f t="shared" si="200"/>
        <v>-2.5212301687245193</v>
      </c>
      <c r="R490" s="344">
        <f t="shared" si="201"/>
        <v>-62.881629581967701</v>
      </c>
      <c r="S490" s="346">
        <f t="shared" si="202"/>
        <v>117.1183704180323</v>
      </c>
      <c r="U490" s="319">
        <f t="shared" si="208"/>
        <v>60607</v>
      </c>
      <c r="V490" s="319">
        <f t="shared" si="209"/>
        <v>3673208449</v>
      </c>
      <c r="X490" s="345">
        <f t="shared" si="203"/>
        <v>1.4007599200395022</v>
      </c>
      <c r="Y490" s="346">
        <f t="shared" si="204"/>
        <v>-9.0167920427050863</v>
      </c>
      <c r="AA490" s="345">
        <f t="shared" si="205"/>
        <v>29.301638780168361</v>
      </c>
      <c r="AB490" s="346">
        <f t="shared" si="206"/>
        <v>-53.864837539262609</v>
      </c>
      <c r="AD490">
        <f t="shared" si="210"/>
        <v>0</v>
      </c>
      <c r="AE490">
        <f t="shared" si="213"/>
        <v>0</v>
      </c>
    </row>
    <row r="491" spans="1:31" x14ac:dyDescent="0.2">
      <c r="A491" s="347">
        <v>60958</v>
      </c>
      <c r="B491" s="364">
        <f t="shared" si="207"/>
        <v>60.957999999999998</v>
      </c>
      <c r="C491" s="337">
        <f t="shared" si="188"/>
        <v>1.5238791557583204</v>
      </c>
      <c r="D491" s="338">
        <f t="shared" si="189"/>
        <v>0.85499800727169639</v>
      </c>
      <c r="E491" s="338">
        <f t="shared" si="190"/>
        <v>1.0000064810513003</v>
      </c>
      <c r="F491" s="339">
        <f t="shared" si="191"/>
        <v>3.600282293724093E-3</v>
      </c>
      <c r="G491" s="338">
        <f t="shared" si="192"/>
        <v>1</v>
      </c>
      <c r="H491" s="339">
        <f t="shared" si="193"/>
        <v>0</v>
      </c>
      <c r="I491" s="337">
        <f t="shared" si="194"/>
        <v>661852.08073713433</v>
      </c>
      <c r="J491" s="340">
        <f t="shared" si="195"/>
        <v>1.5707948158832759</v>
      </c>
      <c r="K491" s="348">
        <f t="shared" si="211"/>
        <v>10.142508172940497</v>
      </c>
      <c r="L491" s="349">
        <f t="shared" si="212"/>
        <v>1.4720409428305092</v>
      </c>
      <c r="M491" s="337">
        <f t="shared" si="196"/>
        <v>1.0017068920567165</v>
      </c>
      <c r="N491" s="340">
        <f t="shared" si="197"/>
        <v>5.8386088881031618E-2</v>
      </c>
      <c r="O491" s="341">
        <f t="shared" si="198"/>
        <v>1.0008707237134973</v>
      </c>
      <c r="P491" s="342">
        <f t="shared" si="199"/>
        <v>9.2091701936316564E-2</v>
      </c>
      <c r="Q491" s="343">
        <f t="shared" si="200"/>
        <v>-2.5504649393072567</v>
      </c>
      <c r="R491" s="344">
        <f t="shared" si="201"/>
        <v>-63.061418861116707</v>
      </c>
      <c r="S491" s="346">
        <f t="shared" si="202"/>
        <v>116.93858113888329</v>
      </c>
      <c r="U491" s="319">
        <f t="shared" si="208"/>
        <v>60958</v>
      </c>
      <c r="V491" s="319">
        <f t="shared" si="209"/>
        <v>3715877764</v>
      </c>
      <c r="X491" s="345">
        <f t="shared" si="203"/>
        <v>1.4000997192833795</v>
      </c>
      <c r="Y491" s="346">
        <f t="shared" si="204"/>
        <v>-9.0034566219410053</v>
      </c>
      <c r="AA491" s="345">
        <f t="shared" si="205"/>
        <v>29.273064210341744</v>
      </c>
      <c r="AB491" s="346">
        <f t="shared" si="206"/>
        <v>-54.057962239175716</v>
      </c>
      <c r="AD491">
        <f t="shared" si="210"/>
        <v>0</v>
      </c>
      <c r="AE491">
        <f t="shared" si="213"/>
        <v>0</v>
      </c>
    </row>
    <row r="492" spans="1:31" x14ac:dyDescent="0.2">
      <c r="A492" s="347">
        <v>61309</v>
      </c>
      <c r="B492" s="364">
        <f t="shared" si="207"/>
        <v>61.308999999999997</v>
      </c>
      <c r="C492" s="337">
        <f t="shared" si="188"/>
        <v>1.5288813654433238</v>
      </c>
      <c r="D492" s="338">
        <f t="shared" si="189"/>
        <v>0.85783986618636177</v>
      </c>
      <c r="E492" s="338">
        <f t="shared" si="190"/>
        <v>1.0000065559025386</v>
      </c>
      <c r="F492" s="339">
        <f t="shared" si="191"/>
        <v>3.6210127650413196E-3</v>
      </c>
      <c r="G492" s="338">
        <f t="shared" si="192"/>
        <v>1</v>
      </c>
      <c r="H492" s="339">
        <f t="shared" si="193"/>
        <v>0</v>
      </c>
      <c r="I492" s="337">
        <f t="shared" si="194"/>
        <v>665663.06666741765</v>
      </c>
      <c r="J492" s="340">
        <f t="shared" si="195"/>
        <v>1.5707948245333923</v>
      </c>
      <c r="K492" s="348">
        <f t="shared" si="211"/>
        <v>10.200343266782381</v>
      </c>
      <c r="L492" s="349">
        <f t="shared" si="212"/>
        <v>1.4726026894085948</v>
      </c>
      <c r="M492" s="337">
        <f t="shared" si="196"/>
        <v>1.0017265884436874</v>
      </c>
      <c r="N492" s="340">
        <f t="shared" si="197"/>
        <v>5.8721509551592589E-2</v>
      </c>
      <c r="O492" s="341">
        <f t="shared" si="198"/>
        <v>1.0008808418189128</v>
      </c>
      <c r="P492" s="342">
        <f t="shared" si="199"/>
        <v>9.2622549953267241E-2</v>
      </c>
      <c r="Q492" s="343">
        <f t="shared" si="200"/>
        <v>-2.5796701015342509</v>
      </c>
      <c r="R492" s="344">
        <f t="shared" si="201"/>
        <v>-63.240505941843224</v>
      </c>
      <c r="S492" s="346">
        <f t="shared" si="202"/>
        <v>116.75949405815678</v>
      </c>
      <c r="U492" s="319">
        <f t="shared" si="208"/>
        <v>61309</v>
      </c>
      <c r="V492" s="319">
        <f t="shared" si="209"/>
        <v>3758793481</v>
      </c>
      <c r="X492" s="345">
        <f t="shared" si="203"/>
        <v>1.3994468890511123</v>
      </c>
      <c r="Y492" s="346">
        <f t="shared" si="204"/>
        <v>-8.9904895982457109</v>
      </c>
      <c r="AA492" s="345">
        <f t="shared" si="205"/>
        <v>29.244511878347019</v>
      </c>
      <c r="AB492" s="346">
        <f t="shared" si="206"/>
        <v>-54.250016343597494</v>
      </c>
      <c r="AD492">
        <f t="shared" si="210"/>
        <v>0</v>
      </c>
      <c r="AE492">
        <f t="shared" si="213"/>
        <v>0</v>
      </c>
    </row>
    <row r="493" spans="1:31" x14ac:dyDescent="0.2">
      <c r="A493" s="347">
        <v>61660</v>
      </c>
      <c r="B493" s="364">
        <f t="shared" si="207"/>
        <v>61.66</v>
      </c>
      <c r="C493" s="337">
        <f t="shared" si="188"/>
        <v>1.5338958420309241</v>
      </c>
      <c r="D493" s="338">
        <f t="shared" si="189"/>
        <v>0.8606631670710212</v>
      </c>
      <c r="E493" s="338">
        <f t="shared" si="190"/>
        <v>1.0000066311835321</v>
      </c>
      <c r="F493" s="339">
        <f t="shared" si="191"/>
        <v>3.6417432332462546E-3</v>
      </c>
      <c r="G493" s="338">
        <f t="shared" si="192"/>
        <v>1</v>
      </c>
      <c r="H493" s="339">
        <f t="shared" si="193"/>
        <v>0</v>
      </c>
      <c r="I493" s="337">
        <f t="shared" si="194"/>
        <v>669474.05259770085</v>
      </c>
      <c r="J493" s="340">
        <f t="shared" si="195"/>
        <v>1.5707948330850268</v>
      </c>
      <c r="K493" s="348">
        <f t="shared" si="211"/>
        <v>10.258181543141028</v>
      </c>
      <c r="L493" s="349">
        <f t="shared" si="212"/>
        <v>1.4731581016157851</v>
      </c>
      <c r="M493" s="337">
        <f t="shared" si="196"/>
        <v>1.0017463975274987</v>
      </c>
      <c r="N493" s="340">
        <f t="shared" si="197"/>
        <v>5.9056916994302648E-2</v>
      </c>
      <c r="O493" s="341">
        <f t="shared" si="198"/>
        <v>1.000891019441529</v>
      </c>
      <c r="P493" s="342">
        <f t="shared" si="199"/>
        <v>9.3153407858449624E-2</v>
      </c>
      <c r="Q493" s="343">
        <f t="shared" si="200"/>
        <v>-2.6088450754979831</v>
      </c>
      <c r="R493" s="344">
        <f t="shared" si="201"/>
        <v>-63.418892461681295</v>
      </c>
      <c r="S493" s="346">
        <f t="shared" si="202"/>
        <v>116.5811075383187</v>
      </c>
      <c r="U493" s="319">
        <f t="shared" si="208"/>
        <v>61660</v>
      </c>
      <c r="V493" s="319">
        <f t="shared" si="209"/>
        <v>3801955600</v>
      </c>
      <c r="X493" s="345">
        <f t="shared" si="203"/>
        <v>1.3988012415033555</v>
      </c>
      <c r="Y493" s="346">
        <f t="shared" si="204"/>
        <v>-8.9778847437263991</v>
      </c>
      <c r="AA493" s="345">
        <f t="shared" si="205"/>
        <v>29.215982551931038</v>
      </c>
      <c r="AB493" s="346">
        <f t="shared" si="206"/>
        <v>-54.441007717954903</v>
      </c>
      <c r="AD493">
        <f t="shared" si="210"/>
        <v>0</v>
      </c>
      <c r="AE493">
        <f t="shared" si="213"/>
        <v>0</v>
      </c>
    </row>
    <row r="494" spans="1:31" x14ac:dyDescent="0.2">
      <c r="A494" s="347">
        <v>62019</v>
      </c>
      <c r="B494" s="364">
        <f t="shared" si="207"/>
        <v>62.018999999999998</v>
      </c>
      <c r="C494" s="337">
        <f t="shared" si="188"/>
        <v>1.5390371731750583</v>
      </c>
      <c r="D494" s="338">
        <f t="shared" si="189"/>
        <v>0.86353176177739499</v>
      </c>
      <c r="E494" s="338">
        <f t="shared" si="190"/>
        <v>1.0000067086248907</v>
      </c>
      <c r="F494" s="339">
        <f t="shared" si="191"/>
        <v>3.6629461875169324E-3</v>
      </c>
      <c r="G494" s="338">
        <f t="shared" si="192"/>
        <v>1</v>
      </c>
      <c r="H494" s="339">
        <f t="shared" si="193"/>
        <v>0</v>
      </c>
      <c r="I494" s="337">
        <f t="shared" si="194"/>
        <v>673371.89860616729</v>
      </c>
      <c r="J494" s="340">
        <f t="shared" si="195"/>
        <v>1.570794841731439</v>
      </c>
      <c r="K494" s="348">
        <f t="shared" si="211"/>
        <v>10.317341307172784</v>
      </c>
      <c r="L494" s="349">
        <f t="shared" si="212"/>
        <v>1.4737197308977761</v>
      </c>
      <c r="M494" s="337">
        <f t="shared" si="196"/>
        <v>1.0017667746724266</v>
      </c>
      <c r="N494" s="340">
        <f t="shared" si="197"/>
        <v>5.9399955289732874E-2</v>
      </c>
      <c r="O494" s="341">
        <f t="shared" si="198"/>
        <v>1.0009014906256311</v>
      </c>
      <c r="P494" s="342">
        <f t="shared" si="199"/>
        <v>9.3696375374851898E-2</v>
      </c>
      <c r="Q494" s="343">
        <f t="shared" si="200"/>
        <v>-2.6386531864167018</v>
      </c>
      <c r="R494" s="344">
        <f t="shared" si="201"/>
        <v>-63.600621893440803</v>
      </c>
      <c r="S494" s="346">
        <f t="shared" si="202"/>
        <v>116.3993781065592</v>
      </c>
      <c r="U494" s="319">
        <f t="shared" si="208"/>
        <v>62019</v>
      </c>
      <c r="V494" s="319">
        <f t="shared" si="209"/>
        <v>3846356361</v>
      </c>
      <c r="X494" s="345">
        <f t="shared" si="203"/>
        <v>1.3981481181751909</v>
      </c>
      <c r="Y494" s="346">
        <f t="shared" si="204"/>
        <v>-8.9653608981454802</v>
      </c>
      <c r="AA494" s="345">
        <f t="shared" si="205"/>
        <v>29.186827564340486</v>
      </c>
      <c r="AB494" s="346">
        <f t="shared" si="206"/>
        <v>-54.63526099529529</v>
      </c>
      <c r="AD494">
        <f t="shared" si="210"/>
        <v>0</v>
      </c>
      <c r="AE494">
        <f t="shared" si="213"/>
        <v>0</v>
      </c>
    </row>
    <row r="495" spans="1:31" x14ac:dyDescent="0.2">
      <c r="A495" s="347">
        <v>62378</v>
      </c>
      <c r="B495" s="364">
        <f t="shared" si="207"/>
        <v>62.378</v>
      </c>
      <c r="C495" s="337">
        <f t="shared" si="188"/>
        <v>1.5441910844105713</v>
      </c>
      <c r="D495" s="338">
        <f t="shared" si="189"/>
        <v>0.86638123128722544</v>
      </c>
      <c r="E495" s="338">
        <f t="shared" si="190"/>
        <v>1.0000067865158178</v>
      </c>
      <c r="F495" s="339">
        <f t="shared" si="191"/>
        <v>3.6841491384941288E-3</v>
      </c>
      <c r="G495" s="338">
        <f t="shared" si="192"/>
        <v>1</v>
      </c>
      <c r="H495" s="339">
        <f t="shared" si="193"/>
        <v>0</v>
      </c>
      <c r="I495" s="337">
        <f t="shared" si="194"/>
        <v>677269.74461463385</v>
      </c>
      <c r="J495" s="340">
        <f t="shared" si="195"/>
        <v>1.5707948502783271</v>
      </c>
      <c r="K495" s="348">
        <f t="shared" si="211"/>
        <v>10.376504288468174</v>
      </c>
      <c r="L495" s="349">
        <f t="shared" si="212"/>
        <v>1.4742749559492552</v>
      </c>
      <c r="M495" s="337">
        <f t="shared" si="196"/>
        <v>1.0017872696957286</v>
      </c>
      <c r="N495" s="340">
        <f t="shared" si="197"/>
        <v>5.9742979589457734E-2</v>
      </c>
      <c r="O495" s="341">
        <f t="shared" si="198"/>
        <v>1.0009120241226883</v>
      </c>
      <c r="P495" s="342">
        <f t="shared" si="199"/>
        <v>9.423935335081933E-2</v>
      </c>
      <c r="Q495" s="343">
        <f t="shared" si="200"/>
        <v>-2.6684285294787635</v>
      </c>
      <c r="R495" s="344">
        <f t="shared" si="201"/>
        <v>-63.781622259414974</v>
      </c>
      <c r="S495" s="346">
        <f t="shared" si="202"/>
        <v>116.21837774058503</v>
      </c>
      <c r="U495" s="319">
        <f t="shared" si="208"/>
        <v>62378</v>
      </c>
      <c r="V495" s="319">
        <f t="shared" si="209"/>
        <v>3891014884</v>
      </c>
      <c r="X495" s="345">
        <f t="shared" si="203"/>
        <v>1.3975021278358779</v>
      </c>
      <c r="Y495" s="346">
        <f t="shared" si="204"/>
        <v>-8.9532031803471828</v>
      </c>
      <c r="AA495" s="345">
        <f t="shared" si="205"/>
        <v>29.157698211617738</v>
      </c>
      <c r="AB495" s="346">
        <f t="shared" si="206"/>
        <v>-54.828419079067778</v>
      </c>
      <c r="AD495">
        <f t="shared" si="210"/>
        <v>0</v>
      </c>
      <c r="AE495">
        <f t="shared" si="213"/>
        <v>0</v>
      </c>
    </row>
    <row r="496" spans="1:31" x14ac:dyDescent="0.2">
      <c r="A496" s="347">
        <v>62737</v>
      </c>
      <c r="B496" s="364">
        <f t="shared" si="207"/>
        <v>62.737000000000002</v>
      </c>
      <c r="C496" s="337">
        <f t="shared" si="188"/>
        <v>1.549357450195088</v>
      </c>
      <c r="D496" s="338">
        <f t="shared" si="189"/>
        <v>0.86921172041683725</v>
      </c>
      <c r="E496" s="338">
        <f t="shared" si="190"/>
        <v>1.000006864856313</v>
      </c>
      <c r="F496" s="339">
        <f t="shared" si="191"/>
        <v>3.7053520861587805E-3</v>
      </c>
      <c r="G496" s="338">
        <f t="shared" si="192"/>
        <v>1</v>
      </c>
      <c r="H496" s="339">
        <f t="shared" si="193"/>
        <v>0</v>
      </c>
      <c r="I496" s="337">
        <f t="shared" si="194"/>
        <v>681167.59062310029</v>
      </c>
      <c r="J496" s="340">
        <f t="shared" si="195"/>
        <v>1.5707948587273994</v>
      </c>
      <c r="K496" s="348">
        <f t="shared" si="211"/>
        <v>10.435670432308269</v>
      </c>
      <c r="L496" s="349">
        <f t="shared" si="212"/>
        <v>1.4748238853533528</v>
      </c>
      <c r="M496" s="337">
        <f t="shared" si="196"/>
        <v>1.00180788259017</v>
      </c>
      <c r="N496" s="340">
        <f t="shared" si="197"/>
        <v>6.0085989813614321E-2</v>
      </c>
      <c r="O496" s="341">
        <f t="shared" si="198"/>
        <v>1.0009226199591186</v>
      </c>
      <c r="P496" s="342">
        <f t="shared" si="199"/>
        <v>9.4782341844671103E-2</v>
      </c>
      <c r="Q496" s="343">
        <f t="shared" si="200"/>
        <v>-2.6981705238095319</v>
      </c>
      <c r="R496" s="344">
        <f t="shared" si="201"/>
        <v>-63.961895634477592</v>
      </c>
      <c r="S496" s="346">
        <f t="shared" si="202"/>
        <v>116.0381043655224</v>
      </c>
      <c r="U496" s="319">
        <f t="shared" si="208"/>
        <v>62737</v>
      </c>
      <c r="V496" s="319">
        <f t="shared" si="209"/>
        <v>3935931169</v>
      </c>
      <c r="X496" s="345">
        <f t="shared" si="203"/>
        <v>1.3968630859954547</v>
      </c>
      <c r="Y496" s="346">
        <f t="shared" si="204"/>
        <v>-8.9414053644984701</v>
      </c>
      <c r="AA496" s="345">
        <f t="shared" si="205"/>
        <v>29.128595259127394</v>
      </c>
      <c r="AB496" s="346">
        <f t="shared" si="206"/>
        <v>-55.020490269979121</v>
      </c>
      <c r="AD496">
        <f t="shared" si="210"/>
        <v>0</v>
      </c>
      <c r="AE496">
        <f t="shared" si="213"/>
        <v>0</v>
      </c>
    </row>
    <row r="497" spans="1:31" x14ac:dyDescent="0.2">
      <c r="A497" s="347">
        <v>63096</v>
      </c>
      <c r="B497" s="364">
        <f t="shared" si="207"/>
        <v>63.095999999999997</v>
      </c>
      <c r="C497" s="337">
        <f t="shared" si="188"/>
        <v>1.5545361463537795</v>
      </c>
      <c r="D497" s="338">
        <f t="shared" si="189"/>
        <v>0.8720233732763093</v>
      </c>
      <c r="E497" s="338">
        <f t="shared" si="190"/>
        <v>1.0000069436463759</v>
      </c>
      <c r="F497" s="339">
        <f t="shared" si="191"/>
        <v>3.7265550304918251E-3</v>
      </c>
      <c r="G497" s="338">
        <f t="shared" si="192"/>
        <v>1</v>
      </c>
      <c r="H497" s="339">
        <f t="shared" si="193"/>
        <v>0</v>
      </c>
      <c r="I497" s="337">
        <f t="shared" si="194"/>
        <v>685065.43663156684</v>
      </c>
      <c r="J497" s="340">
        <f t="shared" si="195"/>
        <v>1.5707948670803256</v>
      </c>
      <c r="K497" s="348">
        <f t="shared" si="211"/>
        <v>10.494839685205184</v>
      </c>
      <c r="L497" s="349">
        <f t="shared" si="212"/>
        <v>1.475366625259833</v>
      </c>
      <c r="M497" s="337">
        <f t="shared" si="196"/>
        <v>1.0018286133484748</v>
      </c>
      <c r="N497" s="340">
        <f t="shared" si="197"/>
        <v>6.0428985882359523E-2</v>
      </c>
      <c r="O497" s="341">
        <f t="shared" si="198"/>
        <v>1.0009332781614906</v>
      </c>
      <c r="P497" s="342">
        <f t="shared" si="199"/>
        <v>9.5325340914687862E-2</v>
      </c>
      <c r="Q497" s="343">
        <f t="shared" si="200"/>
        <v>-2.7278786016196532</v>
      </c>
      <c r="R497" s="344">
        <f t="shared" si="201"/>
        <v>-64.141444192455808</v>
      </c>
      <c r="S497" s="346">
        <f t="shared" si="202"/>
        <v>115.85855580754419</v>
      </c>
      <c r="U497" s="319">
        <f t="shared" si="208"/>
        <v>63096</v>
      </c>
      <c r="V497" s="319">
        <f t="shared" si="209"/>
        <v>3981105216</v>
      </c>
      <c r="X497" s="345">
        <f t="shared" si="203"/>
        <v>1.3962308133538772</v>
      </c>
      <c r="Y497" s="346">
        <f t="shared" si="204"/>
        <v>-8.9299613641868447</v>
      </c>
      <c r="AA497" s="345">
        <f t="shared" si="205"/>
        <v>29.099519453958848</v>
      </c>
      <c r="AB497" s="346">
        <f t="shared" si="206"/>
        <v>-55.211482828268949</v>
      </c>
      <c r="AD497">
        <f t="shared" si="210"/>
        <v>0</v>
      </c>
      <c r="AE497">
        <f t="shared" si="213"/>
        <v>0</v>
      </c>
    </row>
    <row r="498" spans="1:31" x14ac:dyDescent="0.2">
      <c r="A498" s="347">
        <v>63463.25</v>
      </c>
      <c r="B498" s="364">
        <f t="shared" si="207"/>
        <v>63.463250000000002</v>
      </c>
      <c r="C498" s="337">
        <f t="shared" si="188"/>
        <v>1.5598464821624183</v>
      </c>
      <c r="D498" s="338">
        <f t="shared" si="189"/>
        <v>0.87488029828646852</v>
      </c>
      <c r="E498" s="338">
        <f t="shared" si="190"/>
        <v>1.0000070247122577</v>
      </c>
      <c r="F498" s="339">
        <f t="shared" si="191"/>
        <v>3.7482452256494378E-3</v>
      </c>
      <c r="G498" s="338">
        <f t="shared" si="192"/>
        <v>1</v>
      </c>
      <c r="H498" s="339">
        <f t="shared" si="193"/>
        <v>0</v>
      </c>
      <c r="I498" s="337">
        <f t="shared" si="194"/>
        <v>689052.85709565983</v>
      </c>
      <c r="J498" s="340">
        <f t="shared" si="195"/>
        <v>1.5707948755274217</v>
      </c>
      <c r="K498" s="348">
        <f t="shared" si="211"/>
        <v>10.555371839735043</v>
      </c>
      <c r="L498" s="349">
        <f t="shared" si="212"/>
        <v>1.475915541310538</v>
      </c>
      <c r="M498" s="337">
        <f t="shared" si="196"/>
        <v>1.0018499424602128</v>
      </c>
      <c r="N498" s="340">
        <f t="shared" si="197"/>
        <v>6.0779849442415018E-2</v>
      </c>
      <c r="O498" s="341">
        <f t="shared" si="198"/>
        <v>1.0009442458547679</v>
      </c>
      <c r="P498" s="342">
        <f t="shared" si="199"/>
        <v>9.5880829379841756E-2</v>
      </c>
      <c r="Q498" s="343">
        <f t="shared" si="200"/>
        <v>-2.7582337129131234</v>
      </c>
      <c r="R498" s="344">
        <f t="shared" si="201"/>
        <v>-64.324371238261179</v>
      </c>
      <c r="S498" s="346">
        <f t="shared" si="202"/>
        <v>115.67562876173882</v>
      </c>
      <c r="U498" s="319">
        <f t="shared" si="208"/>
        <v>63463.25</v>
      </c>
      <c r="V498" s="319">
        <f t="shared" si="209"/>
        <v>4027584100.5625</v>
      </c>
      <c r="X498" s="345">
        <f t="shared" si="203"/>
        <v>1.3955908334058318</v>
      </c>
      <c r="Y498" s="346">
        <f t="shared" si="204"/>
        <v>-8.9186142763205645</v>
      </c>
      <c r="AA498" s="345">
        <f t="shared" si="205"/>
        <v>29.069804322613422</v>
      </c>
      <c r="AB498" s="346">
        <f t="shared" si="206"/>
        <v>-55.405756961940604</v>
      </c>
      <c r="AD498">
        <f t="shared" si="210"/>
        <v>0</v>
      </c>
      <c r="AE498">
        <f t="shared" si="213"/>
        <v>0</v>
      </c>
    </row>
    <row r="499" spans="1:31" x14ac:dyDescent="0.2">
      <c r="A499" s="347">
        <v>63830.5</v>
      </c>
      <c r="B499" s="364">
        <f t="shared" si="207"/>
        <v>63.830500000000001</v>
      </c>
      <c r="C499" s="337">
        <f t="shared" si="188"/>
        <v>1.5651694630183346</v>
      </c>
      <c r="D499" s="338">
        <f t="shared" si="189"/>
        <v>0.87771781410749661</v>
      </c>
      <c r="E499" s="338">
        <f t="shared" si="190"/>
        <v>1.0000071062486073</v>
      </c>
      <c r="F499" s="339">
        <f t="shared" si="191"/>
        <v>3.769935417280202E-3</v>
      </c>
      <c r="G499" s="338">
        <f t="shared" si="192"/>
        <v>1</v>
      </c>
      <c r="H499" s="339">
        <f t="shared" si="193"/>
        <v>0</v>
      </c>
      <c r="I499" s="337">
        <f t="shared" si="194"/>
        <v>693040.27755975281</v>
      </c>
      <c r="J499" s="340">
        <f t="shared" si="195"/>
        <v>1.5707948838773169</v>
      </c>
      <c r="K499" s="348">
        <f t="shared" si="211"/>
        <v>10.615907138421356</v>
      </c>
      <c r="L499" s="349">
        <f t="shared" si="212"/>
        <v>1.476458197333345</v>
      </c>
      <c r="M499" s="337">
        <f t="shared" si="196"/>
        <v>1.0018713948996658</v>
      </c>
      <c r="N499" s="340">
        <f t="shared" si="197"/>
        <v>6.1130698020020614E-2</v>
      </c>
      <c r="O499" s="341">
        <f t="shared" si="198"/>
        <v>1.000955278870054</v>
      </c>
      <c r="P499" s="342">
        <f t="shared" si="199"/>
        <v>9.643632903609449E-2</v>
      </c>
      <c r="Q499" s="343">
        <f t="shared" si="200"/>
        <v>-2.7885521702366871</v>
      </c>
      <c r="R499" s="344">
        <f t="shared" si="201"/>
        <v>-64.506544670027353</v>
      </c>
      <c r="S499" s="346">
        <f t="shared" si="202"/>
        <v>115.49345532997265</v>
      </c>
      <c r="U499" s="319">
        <f t="shared" si="208"/>
        <v>63830.5</v>
      </c>
      <c r="V499" s="319">
        <f t="shared" si="209"/>
        <v>4074332730.25</v>
      </c>
      <c r="X499" s="345">
        <f t="shared" si="203"/>
        <v>1.3949575736553466</v>
      </c>
      <c r="Y499" s="346">
        <f t="shared" si="204"/>
        <v>-8.907624997632535</v>
      </c>
      <c r="AA499" s="345">
        <f t="shared" si="205"/>
        <v>29.040119125040349</v>
      </c>
      <c r="AB499" s="346">
        <f t="shared" si="206"/>
        <v>-55.598919672394807</v>
      </c>
      <c r="AD499">
        <f t="shared" si="210"/>
        <v>0</v>
      </c>
      <c r="AE499">
        <f t="shared" si="213"/>
        <v>0</v>
      </c>
    </row>
    <row r="500" spans="1:31" x14ac:dyDescent="0.2">
      <c r="A500" s="347">
        <v>64197.75</v>
      </c>
      <c r="B500" s="364">
        <f t="shared" si="207"/>
        <v>64.197749999999999</v>
      </c>
      <c r="C500" s="337">
        <f t="shared" si="188"/>
        <v>1.5705049603463057</v>
      </c>
      <c r="D500" s="338">
        <f t="shared" si="189"/>
        <v>0.88053607263129663</v>
      </c>
      <c r="E500" s="338">
        <f t="shared" si="190"/>
        <v>1.0000071882554245</v>
      </c>
      <c r="F500" s="339">
        <f t="shared" si="191"/>
        <v>3.7916256053637082E-3</v>
      </c>
      <c r="G500" s="338">
        <f t="shared" si="192"/>
        <v>1</v>
      </c>
      <c r="H500" s="339">
        <f t="shared" si="193"/>
        <v>0</v>
      </c>
      <c r="I500" s="337">
        <f t="shared" si="194"/>
        <v>697027.69802384591</v>
      </c>
      <c r="J500" s="340">
        <f t="shared" si="195"/>
        <v>1.570794892131679</v>
      </c>
      <c r="K500" s="348">
        <f t="shared" si="211"/>
        <v>10.676445527782153</v>
      </c>
      <c r="L500" s="349">
        <f t="shared" si="212"/>
        <v>1.4769946994941585</v>
      </c>
      <c r="M500" s="337">
        <f t="shared" si="196"/>
        <v>1.0018929706589121</v>
      </c>
      <c r="N500" s="340">
        <f t="shared" si="197"/>
        <v>6.1481531529766299E-2</v>
      </c>
      <c r="O500" s="341">
        <f t="shared" si="198"/>
        <v>1.0009663772362825</v>
      </c>
      <c r="P500" s="342">
        <f t="shared" si="199"/>
        <v>9.6991839945711103E-2</v>
      </c>
      <c r="Q500" s="343">
        <f t="shared" si="200"/>
        <v>-2.8188334073360259</v>
      </c>
      <c r="R500" s="344">
        <f t="shared" si="201"/>
        <v>-64.687967106431685</v>
      </c>
      <c r="S500" s="346">
        <f t="shared" si="202"/>
        <v>115.31203289356831</v>
      </c>
      <c r="U500" s="319">
        <f t="shared" si="208"/>
        <v>64197.75</v>
      </c>
      <c r="V500" s="319">
        <f t="shared" si="209"/>
        <v>4121351105.0625</v>
      </c>
      <c r="X500" s="345">
        <f t="shared" si="203"/>
        <v>1.3943308579043041</v>
      </c>
      <c r="Y500" s="346">
        <f t="shared" si="204"/>
        <v>-8.8969874404664218</v>
      </c>
      <c r="AA500" s="345">
        <f t="shared" si="205"/>
        <v>29.01046460369205</v>
      </c>
      <c r="AB500" s="346">
        <f t="shared" si="206"/>
        <v>-55.79097966596526</v>
      </c>
      <c r="AD500">
        <f t="shared" si="210"/>
        <v>0</v>
      </c>
      <c r="AE500">
        <f t="shared" si="213"/>
        <v>0</v>
      </c>
    </row>
    <row r="501" spans="1:31" x14ac:dyDescent="0.2">
      <c r="A501" s="347">
        <v>64565</v>
      </c>
      <c r="B501" s="364">
        <f t="shared" si="207"/>
        <v>64.564999999999998</v>
      </c>
      <c r="C501" s="337">
        <f t="shared" si="188"/>
        <v>1.5758528470121247</v>
      </c>
      <c r="D501" s="338">
        <f t="shared" si="189"/>
        <v>0.8833352249187717</v>
      </c>
      <c r="E501" s="338">
        <f t="shared" si="190"/>
        <v>1.0000072707327092</v>
      </c>
      <c r="F501" s="339">
        <f t="shared" si="191"/>
        <v>3.8133157898795501E-3</v>
      </c>
      <c r="G501" s="338">
        <f t="shared" si="192"/>
        <v>1</v>
      </c>
      <c r="H501" s="339">
        <f t="shared" si="193"/>
        <v>0</v>
      </c>
      <c r="I501" s="337">
        <f t="shared" si="194"/>
        <v>701015.11848793901</v>
      </c>
      <c r="J501" s="340">
        <f t="shared" si="195"/>
        <v>1.5707949002921384</v>
      </c>
      <c r="K501" s="348">
        <f t="shared" si="211"/>
        <v>10.736986955538949</v>
      </c>
      <c r="L501" s="349">
        <f t="shared" si="212"/>
        <v>1.4775251515787342</v>
      </c>
      <c r="M501" s="337">
        <f t="shared" si="196"/>
        <v>1.0019146697299846</v>
      </c>
      <c r="N501" s="340">
        <f t="shared" si="197"/>
        <v>6.183234988626423E-2</v>
      </c>
      <c r="O501" s="341">
        <f t="shared" si="198"/>
        <v>1.0009775409825519</v>
      </c>
      <c r="P501" s="342">
        <f t="shared" si="199"/>
        <v>9.754736217091356E-2</v>
      </c>
      <c r="Q501" s="343">
        <f t="shared" si="200"/>
        <v>-2.8490768716533186</v>
      </c>
      <c r="R501" s="344">
        <f t="shared" si="201"/>
        <v>-64.868641254907885</v>
      </c>
      <c r="S501" s="346">
        <f t="shared" si="202"/>
        <v>115.13135874509211</v>
      </c>
      <c r="U501" s="319">
        <f t="shared" si="208"/>
        <v>64565</v>
      </c>
      <c r="V501" s="319">
        <f t="shared" si="209"/>
        <v>4168639225</v>
      </c>
      <c r="X501" s="345">
        <f t="shared" si="203"/>
        <v>1.3937105149124274</v>
      </c>
      <c r="Y501" s="346">
        <f t="shared" si="204"/>
        <v>-8.8866956535374904</v>
      </c>
      <c r="AA501" s="345">
        <f t="shared" si="205"/>
        <v>28.980841482366632</v>
      </c>
      <c r="AB501" s="346">
        <f t="shared" si="206"/>
        <v>-55.981945601370377</v>
      </c>
      <c r="AD501">
        <f t="shared" si="210"/>
        <v>0</v>
      </c>
      <c r="AE501">
        <f t="shared" si="213"/>
        <v>0</v>
      </c>
    </row>
    <row r="502" spans="1:31" x14ac:dyDescent="0.2">
      <c r="A502" s="347">
        <v>64941</v>
      </c>
      <c r="B502" s="364">
        <f t="shared" si="207"/>
        <v>64.941000000000003</v>
      </c>
      <c r="C502" s="337">
        <f t="shared" si="188"/>
        <v>1.5813408553619004</v>
      </c>
      <c r="D502" s="338">
        <f t="shared" si="189"/>
        <v>0.88618143142767603</v>
      </c>
      <c r="E502" s="338">
        <f t="shared" si="190"/>
        <v>1.0000073556624907</v>
      </c>
      <c r="F502" s="339">
        <f t="shared" si="191"/>
        <v>3.835522755196657E-3</v>
      </c>
      <c r="G502" s="338">
        <f t="shared" si="192"/>
        <v>1</v>
      </c>
      <c r="H502" s="339">
        <f t="shared" si="193"/>
        <v>0</v>
      </c>
      <c r="I502" s="337">
        <f t="shared" si="194"/>
        <v>705097.54216254479</v>
      </c>
      <c r="J502" s="340">
        <f t="shared" si="195"/>
        <v>1.5707949085514052</v>
      </c>
      <c r="K502" s="348">
        <f t="shared" si="211"/>
        <v>10.798973921599055</v>
      </c>
      <c r="L502" s="349">
        <f t="shared" si="212"/>
        <v>1.4780620800055557</v>
      </c>
      <c r="M502" s="337">
        <f t="shared" si="196"/>
        <v>1.0019370135427559</v>
      </c>
      <c r="N502" s="340">
        <f t="shared" si="197"/>
        <v>6.2191510958583746E-2</v>
      </c>
      <c r="O502" s="341">
        <f t="shared" si="198"/>
        <v>1.0009890384789941</v>
      </c>
      <c r="P502" s="342">
        <f t="shared" si="199"/>
        <v>9.8116131907787688E-2</v>
      </c>
      <c r="Q502" s="343">
        <f t="shared" si="200"/>
        <v>-2.8800012123925423</v>
      </c>
      <c r="R502" s="344">
        <f t="shared" si="201"/>
        <v>-65.052847769823401</v>
      </c>
      <c r="S502" s="346">
        <f t="shared" si="202"/>
        <v>114.9471522301766</v>
      </c>
      <c r="U502" s="319">
        <f t="shared" si="208"/>
        <v>64941</v>
      </c>
      <c r="V502" s="319">
        <f t="shared" si="209"/>
        <v>4217333481</v>
      </c>
      <c r="X502" s="345">
        <f t="shared" si="203"/>
        <v>1.39308182033136</v>
      </c>
      <c r="Y502" s="346">
        <f t="shared" si="204"/>
        <v>-8.8765108075988106</v>
      </c>
      <c r="AA502" s="345">
        <f t="shared" si="205"/>
        <v>28.950545836208477</v>
      </c>
      <c r="AB502" s="346">
        <f t="shared" si="206"/>
        <v>-56.176336962224575</v>
      </c>
      <c r="AD502">
        <f t="shared" si="210"/>
        <v>0</v>
      </c>
      <c r="AE502">
        <f t="shared" si="213"/>
        <v>0</v>
      </c>
    </row>
    <row r="503" spans="1:31" x14ac:dyDescent="0.2">
      <c r="A503" s="347">
        <v>65317</v>
      </c>
      <c r="B503" s="364">
        <f t="shared" si="207"/>
        <v>65.316999999999993</v>
      </c>
      <c r="C503" s="337">
        <f t="shared" si="188"/>
        <v>1.5868415853147653</v>
      </c>
      <c r="D503" s="338">
        <f t="shared" si="189"/>
        <v>0.88900792815436191</v>
      </c>
      <c r="E503" s="338">
        <f t="shared" si="190"/>
        <v>1.0000074410854247</v>
      </c>
      <c r="F503" s="339">
        <f t="shared" si="191"/>
        <v>3.8577297167307748E-3</v>
      </c>
      <c r="G503" s="338">
        <f t="shared" si="192"/>
        <v>1</v>
      </c>
      <c r="H503" s="339">
        <f t="shared" si="193"/>
        <v>0</v>
      </c>
      <c r="I503" s="337">
        <f t="shared" si="194"/>
        <v>709179.96583715081</v>
      </c>
      <c r="J503" s="340">
        <f t="shared" si="195"/>
        <v>1.5707949167155821</v>
      </c>
      <c r="K503" s="348">
        <f t="shared" si="211"/>
        <v>10.860963965381176</v>
      </c>
      <c r="L503" s="349">
        <f t="shared" si="212"/>
        <v>1.4785928794379934</v>
      </c>
      <c r="M503" s="337">
        <f t="shared" si="196"/>
        <v>1.0019594865962971</v>
      </c>
      <c r="N503" s="340">
        <f t="shared" si="197"/>
        <v>6.2550655965907948E-2</v>
      </c>
      <c r="O503" s="341">
        <f t="shared" si="198"/>
        <v>1.0010006045703073</v>
      </c>
      <c r="P503" s="342">
        <f t="shared" si="199"/>
        <v>9.8684913637734073E-2</v>
      </c>
      <c r="Q503" s="343">
        <f t="shared" si="200"/>
        <v>-2.9108848300379826</v>
      </c>
      <c r="R503" s="344">
        <f t="shared" si="201"/>
        <v>-65.236275924377111</v>
      </c>
      <c r="S503" s="346">
        <f t="shared" si="202"/>
        <v>114.76372407562289</v>
      </c>
      <c r="U503" s="319">
        <f t="shared" si="208"/>
        <v>65317</v>
      </c>
      <c r="V503" s="319">
        <f t="shared" si="209"/>
        <v>4266310489</v>
      </c>
      <c r="X503" s="345">
        <f t="shared" si="203"/>
        <v>1.3924594577403782</v>
      </c>
      <c r="Y503" s="346">
        <f t="shared" si="204"/>
        <v>-8.8666762012667011</v>
      </c>
      <c r="AA503" s="345">
        <f t="shared" si="205"/>
        <v>28.920284581154018</v>
      </c>
      <c r="AB503" s="346">
        <f t="shared" si="206"/>
        <v>-56.369599723110419</v>
      </c>
      <c r="AD503">
        <f t="shared" si="210"/>
        <v>0</v>
      </c>
      <c r="AE503">
        <f t="shared" si="213"/>
        <v>0</v>
      </c>
    </row>
    <row r="504" spans="1:31" x14ac:dyDescent="0.2">
      <c r="A504" s="347">
        <v>65693</v>
      </c>
      <c r="B504" s="364">
        <f t="shared" si="207"/>
        <v>65.692999999999998</v>
      </c>
      <c r="C504" s="337">
        <f t="shared" si="188"/>
        <v>1.5923549050318313</v>
      </c>
      <c r="D504" s="338">
        <f t="shared" si="189"/>
        <v>0.89181487442952068</v>
      </c>
      <c r="E504" s="338">
        <f t="shared" si="190"/>
        <v>1.0000075270015119</v>
      </c>
      <c r="F504" s="339">
        <f t="shared" si="191"/>
        <v>3.8799366744600027E-3</v>
      </c>
      <c r="G504" s="338">
        <f t="shared" si="192"/>
        <v>1</v>
      </c>
      <c r="H504" s="339">
        <f t="shared" si="193"/>
        <v>0</v>
      </c>
      <c r="I504" s="337">
        <f t="shared" si="194"/>
        <v>713262.38951175683</v>
      </c>
      <c r="J504" s="340">
        <f t="shared" si="195"/>
        <v>1.5707949247863024</v>
      </c>
      <c r="K504" s="348">
        <f t="shared" si="211"/>
        <v>10.922957034485185</v>
      </c>
      <c r="L504" s="349">
        <f t="shared" si="212"/>
        <v>1.4791176539293993</v>
      </c>
      <c r="M504" s="337">
        <f t="shared" si="196"/>
        <v>1.0019820888819124</v>
      </c>
      <c r="N504" s="340">
        <f t="shared" si="197"/>
        <v>6.2909784816672185E-2</v>
      </c>
      <c r="O504" s="341">
        <f t="shared" si="198"/>
        <v>1.0010122392882579</v>
      </c>
      <c r="P504" s="342">
        <f t="shared" si="199"/>
        <v>9.9253707427386678E-2</v>
      </c>
      <c r="Q504" s="343">
        <f t="shared" si="200"/>
        <v>-2.9417271750977214</v>
      </c>
      <c r="R504" s="344">
        <f t="shared" si="201"/>
        <v>-65.418928884393708</v>
      </c>
      <c r="S504" s="346">
        <f t="shared" si="202"/>
        <v>114.58107111560629</v>
      </c>
      <c r="U504" s="319">
        <f t="shared" si="208"/>
        <v>65693</v>
      </c>
      <c r="V504" s="319">
        <f t="shared" si="209"/>
        <v>4315570249</v>
      </c>
      <c r="X504" s="345">
        <f t="shared" si="203"/>
        <v>1.391843258453672</v>
      </c>
      <c r="Y504" s="346">
        <f t="shared" si="204"/>
        <v>-8.8571858675705641</v>
      </c>
      <c r="AA504" s="345">
        <f t="shared" si="205"/>
        <v>28.89005843538099</v>
      </c>
      <c r="AB504" s="346">
        <f t="shared" si="206"/>
        <v>-56.561743016823172</v>
      </c>
      <c r="AD504">
        <f t="shared" si="210"/>
        <v>0</v>
      </c>
      <c r="AE504">
        <f t="shared" si="213"/>
        <v>0</v>
      </c>
    </row>
    <row r="505" spans="1:31" x14ac:dyDescent="0.2">
      <c r="A505" s="347">
        <v>66069</v>
      </c>
      <c r="B505" s="364">
        <f t="shared" si="207"/>
        <v>66.069000000000003</v>
      </c>
      <c r="C505" s="337">
        <f t="shared" si="188"/>
        <v>1.5978806841941202</v>
      </c>
      <c r="D505" s="338">
        <f t="shared" si="189"/>
        <v>0.89460242861969752</v>
      </c>
      <c r="E505" s="338">
        <f t="shared" si="190"/>
        <v>1.0000076134107512</v>
      </c>
      <c r="F505" s="339">
        <f t="shared" si="191"/>
        <v>3.9021436283624379E-3</v>
      </c>
      <c r="G505" s="338">
        <f t="shared" si="192"/>
        <v>1</v>
      </c>
      <c r="H505" s="339">
        <f t="shared" si="193"/>
        <v>0</v>
      </c>
      <c r="I505" s="337">
        <f t="shared" si="194"/>
        <v>717344.81318636285</v>
      </c>
      <c r="J505" s="340">
        <f t="shared" si="195"/>
        <v>1.5707949327651614</v>
      </c>
      <c r="K505" s="348">
        <f t="shared" si="211"/>
        <v>10.984953077691291</v>
      </c>
      <c r="L505" s="349">
        <f t="shared" si="212"/>
        <v>1.4796365051975777</v>
      </c>
      <c r="M505" s="337">
        <f t="shared" si="196"/>
        <v>1.0020048203908565</v>
      </c>
      <c r="N505" s="340">
        <f t="shared" si="197"/>
        <v>6.3268897419336695E-2</v>
      </c>
      <c r="O505" s="341">
        <f t="shared" si="198"/>
        <v>1.0010239426647944</v>
      </c>
      <c r="P505" s="342">
        <f t="shared" si="199"/>
        <v>9.9822513343330962E-2</v>
      </c>
      <c r="Q505" s="343">
        <f t="shared" si="200"/>
        <v>-2.9725277123696099</v>
      </c>
      <c r="R505" s="344">
        <f t="shared" si="201"/>
        <v>-65.600809894269872</v>
      </c>
      <c r="S505" s="346">
        <f t="shared" si="202"/>
        <v>114.39919010573013</v>
      </c>
      <c r="U505" s="319">
        <f t="shared" si="208"/>
        <v>66069</v>
      </c>
      <c r="V505" s="319">
        <f t="shared" si="209"/>
        <v>4365112761</v>
      </c>
      <c r="X505" s="345">
        <f t="shared" si="203"/>
        <v>1.391233058536856</v>
      </c>
      <c r="Y505" s="346">
        <f t="shared" si="204"/>
        <v>-8.8480339733560491</v>
      </c>
      <c r="AA505" s="345">
        <f t="shared" si="205"/>
        <v>28.859868098025917</v>
      </c>
      <c r="AB505" s="346">
        <f t="shared" si="206"/>
        <v>-56.752775920913827</v>
      </c>
      <c r="AD505">
        <f t="shared" si="210"/>
        <v>0</v>
      </c>
      <c r="AE505">
        <f t="shared" si="213"/>
        <v>0</v>
      </c>
    </row>
    <row r="506" spans="1:31" x14ac:dyDescent="0.2">
      <c r="A506" s="347">
        <v>66453.75</v>
      </c>
      <c r="B506" s="364">
        <f t="shared" si="207"/>
        <v>66.453749999999999</v>
      </c>
      <c r="C506" s="337">
        <f t="shared" si="188"/>
        <v>1.603547818659677</v>
      </c>
      <c r="D506" s="338">
        <f t="shared" si="189"/>
        <v>0.89743494268672175</v>
      </c>
      <c r="E506" s="338">
        <f t="shared" si="190"/>
        <v>1.0000077023413445</v>
      </c>
      <c r="F506" s="339">
        <f t="shared" si="191"/>
        <v>3.9248673624472279E-3</v>
      </c>
      <c r="G506" s="338">
        <f t="shared" si="192"/>
        <v>1</v>
      </c>
      <c r="H506" s="339">
        <f t="shared" si="193"/>
        <v>0</v>
      </c>
      <c r="I506" s="337">
        <f t="shared" si="194"/>
        <v>721522.24007148168</v>
      </c>
      <c r="J506" s="340">
        <f t="shared" si="195"/>
        <v>1.5707949408362325</v>
      </c>
      <c r="K506" s="348">
        <f t="shared" si="211"/>
        <v>11.048394874461705</v>
      </c>
      <c r="L506" s="349">
        <f t="shared" si="212"/>
        <v>1.4801614029392325</v>
      </c>
      <c r="M506" s="337">
        <f t="shared" si="196"/>
        <v>1.0020282146509647</v>
      </c>
      <c r="N506" s="340">
        <f t="shared" si="197"/>
        <v>6.3636350115567814E-2</v>
      </c>
      <c r="O506" s="341">
        <f t="shared" si="198"/>
        <v>1.0010359895011993</v>
      </c>
      <c r="P506" s="342">
        <f t="shared" si="199"/>
        <v>0.1004045687213523</v>
      </c>
      <c r="Q506" s="343">
        <f t="shared" si="200"/>
        <v>-3.004001195433645</v>
      </c>
      <c r="R506" s="344">
        <f t="shared" si="201"/>
        <v>-65.786127864309549</v>
      </c>
      <c r="S506" s="346">
        <f t="shared" si="202"/>
        <v>114.21387213569045</v>
      </c>
      <c r="U506" s="319">
        <f t="shared" si="208"/>
        <v>66453.75</v>
      </c>
      <c r="V506" s="319">
        <f t="shared" si="209"/>
        <v>4416100889.0625</v>
      </c>
      <c r="X506" s="345">
        <f t="shared" si="203"/>
        <v>1.3906147027029516</v>
      </c>
      <c r="Y506" s="346">
        <f t="shared" si="204"/>
        <v>-8.839013499176037</v>
      </c>
      <c r="AA506" s="345">
        <f t="shared" si="205"/>
        <v>28.82901297079578</v>
      </c>
      <c r="AB506" s="346">
        <f t="shared" si="206"/>
        <v>-56.947114365133494</v>
      </c>
      <c r="AD506">
        <f t="shared" si="210"/>
        <v>0</v>
      </c>
      <c r="AE506">
        <f t="shared" si="213"/>
        <v>0</v>
      </c>
    </row>
    <row r="507" spans="1:31" x14ac:dyDescent="0.2">
      <c r="A507" s="347">
        <v>66838.5</v>
      </c>
      <c r="B507" s="364">
        <f t="shared" si="207"/>
        <v>66.838499999999996</v>
      </c>
      <c r="C507" s="337">
        <f t="shared" si="188"/>
        <v>1.6092277279319893</v>
      </c>
      <c r="D507" s="338">
        <f t="shared" si="189"/>
        <v>0.90024748397705423</v>
      </c>
      <c r="E507" s="338">
        <f t="shared" si="190"/>
        <v>1.0000077917883097</v>
      </c>
      <c r="F507" s="339">
        <f t="shared" si="191"/>
        <v>3.9475910924786457E-3</v>
      </c>
      <c r="G507" s="338">
        <f t="shared" si="192"/>
        <v>1</v>
      </c>
      <c r="H507" s="339">
        <f t="shared" si="193"/>
        <v>0</v>
      </c>
      <c r="I507" s="337">
        <f t="shared" si="194"/>
        <v>725699.66695660073</v>
      </c>
      <c r="J507" s="340">
        <f t="shared" si="195"/>
        <v>1.5707949488143826</v>
      </c>
      <c r="K507" s="348">
        <f t="shared" si="211"/>
        <v>11.111839680500237</v>
      </c>
      <c r="L507" s="349">
        <f t="shared" si="212"/>
        <v>1.4806803068491556</v>
      </c>
      <c r="M507" s="337">
        <f t="shared" si="196"/>
        <v>1.0020517442000814</v>
      </c>
      <c r="N507" s="340">
        <f t="shared" si="197"/>
        <v>6.4003785604822228E-2</v>
      </c>
      <c r="O507" s="341">
        <f t="shared" si="198"/>
        <v>1.0010481082971843</v>
      </c>
      <c r="P507" s="342">
        <f t="shared" si="199"/>
        <v>0.10098663693752769</v>
      </c>
      <c r="Q507" s="343">
        <f t="shared" si="200"/>
        <v>-3.0354298133541286</v>
      </c>
      <c r="R507" s="344">
        <f t="shared" si="201"/>
        <v>-65.970644644393175</v>
      </c>
      <c r="S507" s="346">
        <f t="shared" si="202"/>
        <v>114.02935535560682</v>
      </c>
      <c r="U507" s="319">
        <f t="shared" si="208"/>
        <v>66838.5</v>
      </c>
      <c r="V507" s="319">
        <f t="shared" si="209"/>
        <v>4467385082.25</v>
      </c>
      <c r="X507" s="345">
        <f t="shared" si="203"/>
        <v>1.3900022959696969</v>
      </c>
      <c r="Y507" s="346">
        <f t="shared" si="204"/>
        <v>-8.8303354550466242</v>
      </c>
      <c r="AA507" s="345">
        <f t="shared" si="205"/>
        <v>28.798196759608558</v>
      </c>
      <c r="AB507" s="346">
        <f t="shared" si="206"/>
        <v>-57.140309189346539</v>
      </c>
      <c r="AD507">
        <f t="shared" si="210"/>
        <v>0</v>
      </c>
      <c r="AE507">
        <f t="shared" si="213"/>
        <v>0</v>
      </c>
    </row>
    <row r="508" spans="1:31" x14ac:dyDescent="0.2">
      <c r="A508" s="347">
        <v>67223.25</v>
      </c>
      <c r="B508" s="364">
        <f t="shared" si="207"/>
        <v>67.223249999999993</v>
      </c>
      <c r="C508" s="337">
        <f t="shared" si="188"/>
        <v>1.6149202772185078</v>
      </c>
      <c r="D508" s="338">
        <f t="shared" si="189"/>
        <v>0.90304021896909981</v>
      </c>
      <c r="E508" s="338">
        <f t="shared" si="190"/>
        <v>1.0000078817516467</v>
      </c>
      <c r="F508" s="339">
        <f t="shared" si="191"/>
        <v>3.9703148184332239E-3</v>
      </c>
      <c r="G508" s="338">
        <f t="shared" si="192"/>
        <v>1</v>
      </c>
      <c r="H508" s="339">
        <f t="shared" si="193"/>
        <v>0</v>
      </c>
      <c r="I508" s="337">
        <f t="shared" si="194"/>
        <v>729877.09384171967</v>
      </c>
      <c r="J508" s="340">
        <f t="shared" si="195"/>
        <v>1.5707949567012076</v>
      </c>
      <c r="K508" s="348">
        <f t="shared" si="211"/>
        <v>11.175287444553867</v>
      </c>
      <c r="L508" s="349">
        <f t="shared" si="212"/>
        <v>1.4811933187355495</v>
      </c>
      <c r="M508" s="337">
        <f t="shared" si="196"/>
        <v>1.0020754090286768</v>
      </c>
      <c r="N508" s="340">
        <f t="shared" si="197"/>
        <v>6.4371203789101508E-2</v>
      </c>
      <c r="O508" s="341">
        <f t="shared" si="198"/>
        <v>1.0010602990875705</v>
      </c>
      <c r="P508" s="342">
        <f t="shared" si="199"/>
        <v>0.10156871806304062</v>
      </c>
      <c r="Q508" s="343">
        <f t="shared" si="200"/>
        <v>-3.0668130378559533</v>
      </c>
      <c r="R508" s="344">
        <f t="shared" si="201"/>
        <v>-66.154363938406846</v>
      </c>
      <c r="S508" s="346">
        <f t="shared" si="202"/>
        <v>113.84563606159315</v>
      </c>
      <c r="U508" s="319">
        <f t="shared" si="208"/>
        <v>67223.25</v>
      </c>
      <c r="V508" s="319">
        <f t="shared" si="209"/>
        <v>4518965340.5625</v>
      </c>
      <c r="X508" s="345">
        <f t="shared" si="203"/>
        <v>1.3893956771212732</v>
      </c>
      <c r="Y508" s="346">
        <f t="shared" si="204"/>
        <v>-8.821994002264022</v>
      </c>
      <c r="AA508" s="345">
        <f t="shared" si="205"/>
        <v>28.767420153955158</v>
      </c>
      <c r="AB508" s="346">
        <f t="shared" si="206"/>
        <v>-57.332369936142833</v>
      </c>
      <c r="AD508">
        <f t="shared" si="210"/>
        <v>0</v>
      </c>
      <c r="AE508">
        <f t="shared" si="213"/>
        <v>0</v>
      </c>
    </row>
    <row r="509" spans="1:31" x14ac:dyDescent="0.2">
      <c r="A509" s="347">
        <v>67608</v>
      </c>
      <c r="B509" s="364">
        <f t="shared" si="207"/>
        <v>67.608000000000004</v>
      </c>
      <c r="C509" s="337">
        <f t="shared" si="188"/>
        <v>1.620625333322683</v>
      </c>
      <c r="D509" s="338">
        <f t="shared" si="189"/>
        <v>0.90581331304067636</v>
      </c>
      <c r="E509" s="338">
        <f t="shared" si="190"/>
        <v>1.0000079722313555</v>
      </c>
      <c r="F509" s="339">
        <f t="shared" si="191"/>
        <v>3.993038540287497E-3</v>
      </c>
      <c r="G509" s="338">
        <f t="shared" si="192"/>
        <v>1</v>
      </c>
      <c r="H509" s="339">
        <f t="shared" si="193"/>
        <v>0</v>
      </c>
      <c r="I509" s="337">
        <f t="shared" si="194"/>
        <v>734054.52072683861</v>
      </c>
      <c r="J509" s="340">
        <f t="shared" si="195"/>
        <v>1.5707949644982664</v>
      </c>
      <c r="K509" s="348">
        <f t="shared" si="211"/>
        <v>11.238738116524587</v>
      </c>
      <c r="L509" s="349">
        <f t="shared" si="212"/>
        <v>1.4817005381200641</v>
      </c>
      <c r="M509" s="337">
        <f t="shared" si="196"/>
        <v>1.0020992091271665</v>
      </c>
      <c r="N509" s="340">
        <f t="shared" si="197"/>
        <v>6.4738604570435093E-2</v>
      </c>
      <c r="O509" s="341">
        <f t="shared" si="198"/>
        <v>1.0010725619073781</v>
      </c>
      <c r="P509" s="342">
        <f t="shared" si="199"/>
        <v>0.1021508121690201</v>
      </c>
      <c r="Q509" s="343">
        <f t="shared" si="200"/>
        <v>-3.0981503554495262</v>
      </c>
      <c r="R509" s="344">
        <f t="shared" si="201"/>
        <v>-66.337289518183809</v>
      </c>
      <c r="S509" s="346">
        <f t="shared" si="202"/>
        <v>113.66271048181619</v>
      </c>
      <c r="U509" s="319">
        <f t="shared" si="208"/>
        <v>67608</v>
      </c>
      <c r="V509" s="319">
        <f t="shared" si="209"/>
        <v>4570841664</v>
      </c>
      <c r="X509" s="345">
        <f t="shared" si="203"/>
        <v>1.3887946894851972</v>
      </c>
      <c r="Y509" s="346">
        <f t="shared" si="204"/>
        <v>-8.8139834331337372</v>
      </c>
      <c r="AA509" s="345">
        <f t="shared" si="205"/>
        <v>28.736683823997655</v>
      </c>
      <c r="AB509" s="346">
        <f t="shared" si="206"/>
        <v>-57.523306085050073</v>
      </c>
      <c r="AD509">
        <f t="shared" si="210"/>
        <v>0</v>
      </c>
      <c r="AE509">
        <f t="shared" si="213"/>
        <v>0</v>
      </c>
    </row>
    <row r="510" spans="1:31" x14ac:dyDescent="0.2">
      <c r="A510" s="347">
        <v>68001.75</v>
      </c>
      <c r="B510" s="364">
        <f t="shared" si="207"/>
        <v>68.001750000000001</v>
      </c>
      <c r="C510" s="337">
        <f t="shared" si="188"/>
        <v>1.6264766527813366</v>
      </c>
      <c r="D510" s="338">
        <f t="shared" si="189"/>
        <v>0.90863111075702019</v>
      </c>
      <c r="E510" s="338">
        <f t="shared" si="190"/>
        <v>1.0000080653621797</v>
      </c>
      <c r="F510" s="339">
        <f t="shared" si="191"/>
        <v>4.0162938069212093E-3</v>
      </c>
      <c r="G510" s="338">
        <f t="shared" si="192"/>
        <v>1</v>
      </c>
      <c r="H510" s="339">
        <f t="shared" si="193"/>
        <v>0</v>
      </c>
      <c r="I510" s="337">
        <f t="shared" si="194"/>
        <v>738329.66519991367</v>
      </c>
      <c r="J510" s="340">
        <f t="shared" si="195"/>
        <v>1.5707949723863619</v>
      </c>
      <c r="K510" s="348">
        <f t="shared" si="211"/>
        <v>11.303675974389302</v>
      </c>
      <c r="L510" s="349">
        <f t="shared" si="212"/>
        <v>1.4822137264647874</v>
      </c>
      <c r="M510" s="337">
        <f t="shared" si="196"/>
        <v>1.0021237059962644</v>
      </c>
      <c r="N510" s="340">
        <f t="shared" si="197"/>
        <v>6.5114581401559304E-2</v>
      </c>
      <c r="O510" s="341">
        <f t="shared" si="198"/>
        <v>1.0010851861899979</v>
      </c>
      <c r="P510" s="342">
        <f t="shared" si="199"/>
        <v>0.1027465360250306</v>
      </c>
      <c r="Q510" s="343">
        <f t="shared" si="200"/>
        <v>-3.1301726589632346</v>
      </c>
      <c r="R510" s="344">
        <f t="shared" si="201"/>
        <v>-66.523676280464755</v>
      </c>
      <c r="S510" s="346">
        <f t="shared" si="202"/>
        <v>113.47632371953524</v>
      </c>
      <c r="U510" s="319">
        <f t="shared" si="208"/>
        <v>68001.75</v>
      </c>
      <c r="V510" s="319">
        <f t="shared" si="209"/>
        <v>4624238003.0625</v>
      </c>
      <c r="X510" s="345">
        <f t="shared" si="203"/>
        <v>1.3881853151284906</v>
      </c>
      <c r="Y510" s="346">
        <f t="shared" si="204"/>
        <v>-8.8061222444495026</v>
      </c>
      <c r="AA510" s="345">
        <f t="shared" si="205"/>
        <v>28.705270894840655</v>
      </c>
      <c r="AB510" s="346">
        <f t="shared" si="206"/>
        <v>-57.71755403601523</v>
      </c>
      <c r="AD510">
        <f t="shared" si="210"/>
        <v>0</v>
      </c>
      <c r="AE510">
        <f t="shared" si="213"/>
        <v>0</v>
      </c>
    </row>
    <row r="511" spans="1:31" x14ac:dyDescent="0.2">
      <c r="A511" s="347">
        <v>68395.5</v>
      </c>
      <c r="B511" s="364">
        <f t="shared" si="207"/>
        <v>68.395499999999998</v>
      </c>
      <c r="C511" s="337">
        <f t="shared" si="188"/>
        <v>1.632340793794018</v>
      </c>
      <c r="D511" s="338">
        <f t="shared" si="189"/>
        <v>0.91142868482624306</v>
      </c>
      <c r="E511" s="338">
        <f t="shared" si="190"/>
        <v>1.0000081590338159</v>
      </c>
      <c r="F511" s="339">
        <f t="shared" si="191"/>
        <v>4.0395490692108158E-3</v>
      </c>
      <c r="G511" s="338">
        <f t="shared" si="192"/>
        <v>1</v>
      </c>
      <c r="H511" s="339">
        <f t="shared" si="193"/>
        <v>0</v>
      </c>
      <c r="I511" s="337">
        <f t="shared" si="194"/>
        <v>742604.80967298883</v>
      </c>
      <c r="J511" s="340">
        <f t="shared" si="195"/>
        <v>1.5707949801836345</v>
      </c>
      <c r="K511" s="348">
        <f t="shared" si="211"/>
        <v>11.368616775206428</v>
      </c>
      <c r="L511" s="349">
        <f t="shared" si="212"/>
        <v>1.4827210519837217</v>
      </c>
      <c r="M511" s="337">
        <f t="shared" si="196"/>
        <v>1.0021483445172068</v>
      </c>
      <c r="N511" s="340">
        <f t="shared" si="197"/>
        <v>6.549053979851735E-2</v>
      </c>
      <c r="O511" s="341">
        <f t="shared" si="198"/>
        <v>1.0010978859861006</v>
      </c>
      <c r="P511" s="342">
        <f t="shared" si="199"/>
        <v>0.10334227362644142</v>
      </c>
      <c r="Q511" s="343">
        <f t="shared" si="200"/>
        <v>-3.1621458410471703</v>
      </c>
      <c r="R511" s="344">
        <f t="shared" si="201"/>
        <v>-66.70923995469073</v>
      </c>
      <c r="S511" s="346">
        <f t="shared" si="202"/>
        <v>113.29076004530927</v>
      </c>
      <c r="U511" s="319">
        <f t="shared" si="208"/>
        <v>68395.5</v>
      </c>
      <c r="V511" s="319">
        <f t="shared" si="209"/>
        <v>4677944420.25</v>
      </c>
      <c r="X511" s="345">
        <f t="shared" si="203"/>
        <v>1.38758152042328</v>
      </c>
      <c r="Y511" s="346">
        <f t="shared" si="204"/>
        <v>-8.7985959095356954</v>
      </c>
      <c r="AA511" s="345">
        <f t="shared" si="205"/>
        <v>28.673901507461931</v>
      </c>
      <c r="AB511" s="346">
        <f t="shared" si="206"/>
        <v>-57.910644045155003</v>
      </c>
      <c r="AD511">
        <f t="shared" si="210"/>
        <v>0</v>
      </c>
      <c r="AE511">
        <f t="shared" si="213"/>
        <v>0</v>
      </c>
    </row>
    <row r="512" spans="1:31" x14ac:dyDescent="0.2">
      <c r="A512" s="347">
        <v>68789.25</v>
      </c>
      <c r="B512" s="364">
        <f t="shared" si="207"/>
        <v>68.789249999999996</v>
      </c>
      <c r="C512" s="337">
        <f t="shared" si="188"/>
        <v>1.6382176186731634</v>
      </c>
      <c r="D512" s="338">
        <f t="shared" si="189"/>
        <v>0.91420620886906956</v>
      </c>
      <c r="E512" s="338">
        <f t="shared" si="190"/>
        <v>1.0000082532462633</v>
      </c>
      <c r="F512" s="339">
        <f t="shared" si="191"/>
        <v>4.0628043271311639E-3</v>
      </c>
      <c r="G512" s="338">
        <f t="shared" si="192"/>
        <v>1</v>
      </c>
      <c r="H512" s="339">
        <f t="shared" si="193"/>
        <v>0</v>
      </c>
      <c r="I512" s="337">
        <f t="shared" si="194"/>
        <v>746879.95414606389</v>
      </c>
      <c r="J512" s="340">
        <f t="shared" si="195"/>
        <v>1.5707949878916438</v>
      </c>
      <c r="K512" s="348">
        <f t="shared" si="211"/>
        <v>11.433560468829464</v>
      </c>
      <c r="L512" s="349">
        <f t="shared" si="212"/>
        <v>1.4832226143176639</v>
      </c>
      <c r="M512" s="337">
        <f t="shared" si="196"/>
        <v>1.0021731246795458</v>
      </c>
      <c r="N512" s="340">
        <f t="shared" si="197"/>
        <v>6.5866479656393292E-2</v>
      </c>
      <c r="O512" s="341">
        <f t="shared" si="198"/>
        <v>1.0011106613338687</v>
      </c>
      <c r="P512" s="342">
        <f t="shared" si="199"/>
        <v>0.10393802504931174</v>
      </c>
      <c r="Q512" s="343">
        <f t="shared" si="200"/>
        <v>-3.19406939794596</v>
      </c>
      <c r="R512" s="344">
        <f t="shared" si="201"/>
        <v>-66.893984778036796</v>
      </c>
      <c r="S512" s="346">
        <f t="shared" si="202"/>
        <v>113.1060152219632</v>
      </c>
      <c r="U512" s="319">
        <f t="shared" si="208"/>
        <v>68789.25</v>
      </c>
      <c r="V512" s="319">
        <f t="shared" si="209"/>
        <v>4731960915.5625</v>
      </c>
      <c r="X512" s="345">
        <f t="shared" si="203"/>
        <v>1.3869831512484105</v>
      </c>
      <c r="Y512" s="346">
        <f t="shared" si="204"/>
        <v>-8.7913987134732992</v>
      </c>
      <c r="AA512" s="345">
        <f t="shared" si="205"/>
        <v>28.642576319738012</v>
      </c>
      <c r="AB512" s="346">
        <f t="shared" si="206"/>
        <v>-58.102586064563461</v>
      </c>
      <c r="AD512">
        <f t="shared" si="210"/>
        <v>0</v>
      </c>
      <c r="AE512">
        <f t="shared" si="213"/>
        <v>0</v>
      </c>
    </row>
    <row r="513" spans="1:31" x14ac:dyDescent="0.2">
      <c r="A513" s="347">
        <v>69183</v>
      </c>
      <c r="B513" s="364">
        <f t="shared" si="207"/>
        <v>69.183000000000007</v>
      </c>
      <c r="C513" s="337">
        <f t="shared" si="188"/>
        <v>1.6441069914041593</v>
      </c>
      <c r="D513" s="338">
        <f t="shared" si="189"/>
        <v>0.9169638552639896</v>
      </c>
      <c r="E513" s="338">
        <f t="shared" si="190"/>
        <v>1.0000083479995221</v>
      </c>
      <c r="F513" s="339">
        <f t="shared" si="191"/>
        <v>4.0860595806571035E-3</v>
      </c>
      <c r="G513" s="338">
        <f t="shared" si="192"/>
        <v>1</v>
      </c>
      <c r="H513" s="339">
        <f t="shared" si="193"/>
        <v>0</v>
      </c>
      <c r="I513" s="337">
        <f t="shared" si="194"/>
        <v>751155.09861913905</v>
      </c>
      <c r="J513" s="340">
        <f t="shared" si="195"/>
        <v>1.570794995511914</v>
      </c>
      <c r="K513" s="348">
        <f t="shared" si="211"/>
        <v>11.498507006242612</v>
      </c>
      <c r="L513" s="349">
        <f t="shared" si="212"/>
        <v>1.4837185108679725</v>
      </c>
      <c r="M513" s="337">
        <f t="shared" si="196"/>
        <v>1.0021980464727753</v>
      </c>
      <c r="N513" s="340">
        <f t="shared" si="197"/>
        <v>6.6242400870302573E-2</v>
      </c>
      <c r="O513" s="341">
        <f t="shared" si="198"/>
        <v>1.0011235122717028</v>
      </c>
      <c r="P513" s="342">
        <f t="shared" si="199"/>
        <v>0.10453379036963949</v>
      </c>
      <c r="Q513" s="343">
        <f t="shared" si="200"/>
        <v>-3.2259428411216682</v>
      </c>
      <c r="R513" s="344">
        <f t="shared" si="201"/>
        <v>-67.077915044809785</v>
      </c>
      <c r="S513" s="346">
        <f t="shared" si="202"/>
        <v>112.92208495519021</v>
      </c>
      <c r="U513" s="319">
        <f t="shared" si="208"/>
        <v>69183</v>
      </c>
      <c r="V513" s="319">
        <f t="shared" si="209"/>
        <v>4786287489</v>
      </c>
      <c r="X513" s="345">
        <f t="shared" si="203"/>
        <v>1.3863900578288504</v>
      </c>
      <c r="Y513" s="346">
        <f t="shared" si="204"/>
        <v>-8.7845250696534301</v>
      </c>
      <c r="AA513" s="345">
        <f t="shared" si="205"/>
        <v>28.611295969981864</v>
      </c>
      <c r="AB513" s="346">
        <f t="shared" si="206"/>
        <v>-58.293389975156373</v>
      </c>
      <c r="AD513">
        <f t="shared" si="210"/>
        <v>0</v>
      </c>
      <c r="AE513">
        <f t="shared" si="213"/>
        <v>0</v>
      </c>
    </row>
    <row r="514" spans="1:31" x14ac:dyDescent="0.2">
      <c r="A514" s="347">
        <v>69586</v>
      </c>
      <c r="B514" s="364">
        <f t="shared" si="207"/>
        <v>69.585999999999999</v>
      </c>
      <c r="C514" s="337">
        <f t="shared" si="188"/>
        <v>1.6501475709177413</v>
      </c>
      <c r="D514" s="338">
        <f t="shared" si="189"/>
        <v>0.91976587946659771</v>
      </c>
      <c r="E514" s="338">
        <f t="shared" si="190"/>
        <v>1.0000084455387483</v>
      </c>
      <c r="F514" s="339">
        <f t="shared" si="191"/>
        <v>4.1098611434986759E-3</v>
      </c>
      <c r="G514" s="338">
        <f t="shared" si="192"/>
        <v>1</v>
      </c>
      <c r="H514" s="339">
        <f t="shared" si="193"/>
        <v>0</v>
      </c>
      <c r="I514" s="337">
        <f t="shared" si="194"/>
        <v>755530.67505761352</v>
      </c>
      <c r="J514" s="340">
        <f t="shared" si="195"/>
        <v>1.5707950032218996</v>
      </c>
      <c r="K514" s="348">
        <f t="shared" si="211"/>
        <v>11.564982166620425</v>
      </c>
      <c r="L514" s="349">
        <f t="shared" si="212"/>
        <v>1.4842202894182943</v>
      </c>
      <c r="M514" s="337">
        <f t="shared" si="196"/>
        <v>1.0022237003801011</v>
      </c>
      <c r="N514" s="340">
        <f t="shared" si="197"/>
        <v>6.6627133833720931E-2</v>
      </c>
      <c r="O514" s="341">
        <f t="shared" si="198"/>
        <v>1.0011367434194627</v>
      </c>
      <c r="P514" s="342">
        <f t="shared" si="199"/>
        <v>0.10514356591695979</v>
      </c>
      <c r="Q514" s="343">
        <f t="shared" si="200"/>
        <v>-3.2585126696432609</v>
      </c>
      <c r="R514" s="344">
        <f t="shared" si="201"/>
        <v>-67.265327265751438</v>
      </c>
      <c r="S514" s="346">
        <f t="shared" si="202"/>
        <v>112.73467273424856</v>
      </c>
      <c r="U514" s="319">
        <f t="shared" si="208"/>
        <v>69586</v>
      </c>
      <c r="V514" s="319">
        <f t="shared" si="209"/>
        <v>4842211396</v>
      </c>
      <c r="X514" s="345">
        <f t="shared" si="203"/>
        <v>1.3857883426396391</v>
      </c>
      <c r="Y514" s="346">
        <f t="shared" si="204"/>
        <v>-8.7778192932551971</v>
      </c>
      <c r="AA514" s="345">
        <f t="shared" si="205"/>
        <v>28.579327856649478</v>
      </c>
      <c r="AB514" s="346">
        <f t="shared" si="206"/>
        <v>-58.487507972496232</v>
      </c>
      <c r="AD514">
        <f t="shared" si="210"/>
        <v>0</v>
      </c>
      <c r="AE514">
        <f t="shared" si="213"/>
        <v>0</v>
      </c>
    </row>
    <row r="515" spans="1:31" x14ac:dyDescent="0.2">
      <c r="A515" s="347">
        <v>69989</v>
      </c>
      <c r="B515" s="364">
        <f t="shared" si="207"/>
        <v>69.989000000000004</v>
      </c>
      <c r="C515" s="337">
        <f t="shared" si="188"/>
        <v>1.6562010117346668</v>
      </c>
      <c r="D515" s="338">
        <f t="shared" si="189"/>
        <v>0.92254744249018705</v>
      </c>
      <c r="E515" s="338">
        <f t="shared" si="190"/>
        <v>1.0000085436444934</v>
      </c>
      <c r="F515" s="339">
        <f t="shared" si="191"/>
        <v>4.1336627016836328E-3</v>
      </c>
      <c r="G515" s="338">
        <f t="shared" si="192"/>
        <v>1</v>
      </c>
      <c r="H515" s="339">
        <f t="shared" si="193"/>
        <v>0</v>
      </c>
      <c r="I515" s="337">
        <f t="shared" si="194"/>
        <v>759906.25149608799</v>
      </c>
      <c r="J515" s="340">
        <f t="shared" si="195"/>
        <v>1.5707950108430959</v>
      </c>
      <c r="K515" s="348">
        <f t="shared" si="211"/>
        <v>11.631460205565698</v>
      </c>
      <c r="L515" s="349">
        <f t="shared" si="212"/>
        <v>1.4847163323973342</v>
      </c>
      <c r="M515" s="337">
        <f t="shared" si="196"/>
        <v>1.0022495026284237</v>
      </c>
      <c r="N515" s="340">
        <f t="shared" si="197"/>
        <v>6.7011847044692263E-2</v>
      </c>
      <c r="O515" s="341">
        <f t="shared" si="198"/>
        <v>1.0011500538326339</v>
      </c>
      <c r="P515" s="342">
        <f t="shared" si="199"/>
        <v>0.10575335618326122</v>
      </c>
      <c r="Q515" s="343">
        <f t="shared" si="200"/>
        <v>-3.2910290144287457</v>
      </c>
      <c r="R515" s="344">
        <f t="shared" si="201"/>
        <v>-67.451895478301196</v>
      </c>
      <c r="S515" s="346">
        <f t="shared" si="202"/>
        <v>112.5481045216988</v>
      </c>
      <c r="U515" s="319">
        <f t="shared" si="208"/>
        <v>69989</v>
      </c>
      <c r="V515" s="319">
        <f t="shared" si="209"/>
        <v>4898460121</v>
      </c>
      <c r="X515" s="345">
        <f t="shared" si="203"/>
        <v>1.3851918498414659</v>
      </c>
      <c r="Y515" s="346">
        <f t="shared" si="204"/>
        <v>-8.7714410040657924</v>
      </c>
      <c r="AA515" s="345">
        <f t="shared" si="205"/>
        <v>28.547408004662167</v>
      </c>
      <c r="AB515" s="346">
        <f t="shared" si="206"/>
        <v>-58.680454474235418</v>
      </c>
      <c r="AD515">
        <f t="shared" si="210"/>
        <v>0</v>
      </c>
      <c r="AE515">
        <f t="shared" si="213"/>
        <v>0</v>
      </c>
    </row>
    <row r="516" spans="1:31" x14ac:dyDescent="0.2">
      <c r="A516" s="347">
        <v>70392</v>
      </c>
      <c r="B516" s="364">
        <f t="shared" si="207"/>
        <v>70.391999999999996</v>
      </c>
      <c r="C516" s="337">
        <f t="shared" si="188"/>
        <v>1.6622671733447874</v>
      </c>
      <c r="D516" s="338">
        <f t="shared" si="189"/>
        <v>0.92530872506517781</v>
      </c>
      <c r="E516" s="338">
        <f t="shared" si="190"/>
        <v>1.0000086423167573</v>
      </c>
      <c r="F516" s="339">
        <f t="shared" si="191"/>
        <v>4.1574642551850064E-3</v>
      </c>
      <c r="G516" s="338">
        <f t="shared" si="192"/>
        <v>1</v>
      </c>
      <c r="H516" s="339">
        <f t="shared" si="193"/>
        <v>0</v>
      </c>
      <c r="I516" s="337">
        <f t="shared" si="194"/>
        <v>764281.82793456246</v>
      </c>
      <c r="J516" s="340">
        <f t="shared" si="195"/>
        <v>1.5707950183770285</v>
      </c>
      <c r="K516" s="348">
        <f t="shared" si="211"/>
        <v>11.697941074002742</v>
      </c>
      <c r="L516" s="349">
        <f t="shared" si="212"/>
        <v>1.4852067373467921</v>
      </c>
      <c r="M516" s="337">
        <f t="shared" si="196"/>
        <v>1.002275453206287</v>
      </c>
      <c r="N516" s="340">
        <f t="shared" si="197"/>
        <v>6.7396540390868093E-2</v>
      </c>
      <c r="O516" s="341">
        <f t="shared" si="198"/>
        <v>1.0011634435530965</v>
      </c>
      <c r="P516" s="342">
        <f t="shared" si="199"/>
        <v>0.10636316124982359</v>
      </c>
      <c r="Q516" s="343">
        <f t="shared" si="200"/>
        <v>-3.3234913995577378</v>
      </c>
      <c r="R516" s="344">
        <f t="shared" si="201"/>
        <v>-67.637624447130577</v>
      </c>
      <c r="S516" s="346">
        <f t="shared" si="202"/>
        <v>112.36237555286942</v>
      </c>
      <c r="U516" s="319">
        <f t="shared" si="208"/>
        <v>70392</v>
      </c>
      <c r="V516" s="319">
        <f t="shared" si="209"/>
        <v>4955033664</v>
      </c>
      <c r="X516" s="345">
        <f t="shared" si="203"/>
        <v>1.3846004320637548</v>
      </c>
      <c r="Y516" s="346">
        <f t="shared" si="204"/>
        <v>-8.7653846070077872</v>
      </c>
      <c r="AA516" s="345">
        <f t="shared" si="205"/>
        <v>28.515537037310885</v>
      </c>
      <c r="AB516" s="346">
        <f t="shared" si="206"/>
        <v>-58.872239840122795</v>
      </c>
      <c r="AD516">
        <f t="shared" si="210"/>
        <v>0</v>
      </c>
      <c r="AE516">
        <f t="shared" si="213"/>
        <v>0</v>
      </c>
    </row>
    <row r="517" spans="1:31" x14ac:dyDescent="0.2">
      <c r="A517" s="347">
        <v>70795</v>
      </c>
      <c r="B517" s="364">
        <f t="shared" si="207"/>
        <v>70.795000000000002</v>
      </c>
      <c r="C517" s="337">
        <f t="shared" si="188"/>
        <v>1.6683459169884192</v>
      </c>
      <c r="D517" s="338">
        <f t="shared" si="189"/>
        <v>0.92804990653330866</v>
      </c>
      <c r="E517" s="338">
        <f t="shared" si="190"/>
        <v>1.0000087415555403</v>
      </c>
      <c r="F517" s="339">
        <f t="shared" si="191"/>
        <v>4.1812658039758312E-3</v>
      </c>
      <c r="G517" s="338">
        <f t="shared" si="192"/>
        <v>1</v>
      </c>
      <c r="H517" s="339">
        <f t="shared" si="193"/>
        <v>0</v>
      </c>
      <c r="I517" s="337">
        <f t="shared" si="194"/>
        <v>768657.40437303716</v>
      </c>
      <c r="J517" s="340">
        <f t="shared" si="195"/>
        <v>1.5707950258251873</v>
      </c>
      <c r="K517" s="348">
        <f t="shared" si="211"/>
        <v>11.764424723963106</v>
      </c>
      <c r="L517" s="349">
        <f t="shared" si="212"/>
        <v>1.485691599614428</v>
      </c>
      <c r="M517" s="337">
        <f t="shared" si="196"/>
        <v>1.002301552102169</v>
      </c>
      <c r="N517" s="340">
        <f t="shared" si="197"/>
        <v>6.7781213759935052E-2</v>
      </c>
      <c r="O517" s="341">
        <f t="shared" si="198"/>
        <v>1.0011769126229693</v>
      </c>
      <c r="P517" s="342">
        <f t="shared" si="199"/>
        <v>0.1069729811978581</v>
      </c>
      <c r="Q517" s="343">
        <f t="shared" si="200"/>
        <v>-3.3558993646914987</v>
      </c>
      <c r="R517" s="344">
        <f t="shared" si="201"/>
        <v>-67.822518983044887</v>
      </c>
      <c r="S517" s="346">
        <f t="shared" si="202"/>
        <v>112.17748101695511</v>
      </c>
      <c r="U517" s="319">
        <f t="shared" si="208"/>
        <v>70795</v>
      </c>
      <c r="V517" s="319">
        <f t="shared" si="209"/>
        <v>5011932025</v>
      </c>
      <c r="X517" s="345">
        <f t="shared" si="203"/>
        <v>1.3840139460947756</v>
      </c>
      <c r="Y517" s="346">
        <f t="shared" si="204"/>
        <v>-8.7596446327072215</v>
      </c>
      <c r="AA517" s="345">
        <f t="shared" si="205"/>
        <v>28.483715558146105</v>
      </c>
      <c r="AB517" s="346">
        <f t="shared" si="206"/>
        <v>-59.062874350337658</v>
      </c>
      <c r="AD517">
        <f t="shared" si="210"/>
        <v>0</v>
      </c>
      <c r="AE517">
        <f t="shared" si="213"/>
        <v>0</v>
      </c>
    </row>
    <row r="518" spans="1:31" x14ac:dyDescent="0.2">
      <c r="A518" s="347">
        <v>71207.25</v>
      </c>
      <c r="B518" s="364">
        <f t="shared" si="207"/>
        <v>71.207250000000002</v>
      </c>
      <c r="C518" s="337">
        <f t="shared" si="188"/>
        <v>1.6745770608242119</v>
      </c>
      <c r="D518" s="338">
        <f t="shared" si="189"/>
        <v>0.93083339299232681</v>
      </c>
      <c r="E518" s="338">
        <f t="shared" si="190"/>
        <v>1.000008843658309</v>
      </c>
      <c r="F518" s="339">
        <f t="shared" si="191"/>
        <v>4.205613661329371E-3</v>
      </c>
      <c r="G518" s="338">
        <f t="shared" si="192"/>
        <v>1</v>
      </c>
      <c r="H518" s="339">
        <f t="shared" si="193"/>
        <v>0</v>
      </c>
      <c r="I518" s="337">
        <f t="shared" si="194"/>
        <v>773133.41277691093</v>
      </c>
      <c r="J518" s="340">
        <f t="shared" si="195"/>
        <v>1.5707950333570715</v>
      </c>
      <c r="K518" s="348">
        <f t="shared" si="211"/>
        <v>11.832437192545598</v>
      </c>
      <c r="L518" s="349">
        <f t="shared" si="212"/>
        <v>1.4861819530566462</v>
      </c>
      <c r="M518" s="337">
        <f t="shared" si="196"/>
        <v>1.002328403493679</v>
      </c>
      <c r="N518" s="340">
        <f t="shared" si="197"/>
        <v>6.8174695693294735E-2</v>
      </c>
      <c r="O518" s="341">
        <f t="shared" si="198"/>
        <v>1.0011907729928504</v>
      </c>
      <c r="P518" s="342">
        <f t="shared" si="199"/>
        <v>0.10759681373623085</v>
      </c>
      <c r="Q518" s="343">
        <f t="shared" si="200"/>
        <v>-3.3889944132238723</v>
      </c>
      <c r="R518" s="344">
        <f t="shared" si="201"/>
        <v>-68.010799054731265</v>
      </c>
      <c r="S518" s="346">
        <f t="shared" si="202"/>
        <v>111.98920094526873</v>
      </c>
      <c r="U518" s="319">
        <f t="shared" si="208"/>
        <v>71207.25</v>
      </c>
      <c r="V518" s="319">
        <f t="shared" si="209"/>
        <v>5070472452.5625</v>
      </c>
      <c r="X518" s="345">
        <f t="shared" si="203"/>
        <v>1.3834189564056771</v>
      </c>
      <c r="Y518" s="346">
        <f t="shared" si="204"/>
        <v>-8.7540947356334016</v>
      </c>
      <c r="AA518" s="345">
        <f t="shared" si="205"/>
        <v>28.45121549930283</v>
      </c>
      <c r="AB518" s="346">
        <f t="shared" si="206"/>
        <v>-59.25670431909785</v>
      </c>
      <c r="AD518">
        <f t="shared" si="210"/>
        <v>0</v>
      </c>
      <c r="AE518">
        <f t="shared" si="213"/>
        <v>0</v>
      </c>
    </row>
    <row r="519" spans="1:31" x14ac:dyDescent="0.2">
      <c r="A519" s="347">
        <v>71619.5</v>
      </c>
      <c r="B519" s="364">
        <f t="shared" si="207"/>
        <v>71.619500000000002</v>
      </c>
      <c r="C519" s="337">
        <f t="shared" si="188"/>
        <v>1.6808210826879408</v>
      </c>
      <c r="D519" s="338">
        <f t="shared" si="189"/>
        <v>0.93359622017723176</v>
      </c>
      <c r="E519" s="338">
        <f t="shared" si="190"/>
        <v>1.0000089463539008</v>
      </c>
      <c r="F519" s="339">
        <f t="shared" si="191"/>
        <v>4.2299615136965549E-3</v>
      </c>
      <c r="G519" s="338">
        <f t="shared" si="192"/>
        <v>1</v>
      </c>
      <c r="H519" s="339">
        <f t="shared" si="193"/>
        <v>0</v>
      </c>
      <c r="I519" s="337">
        <f t="shared" si="194"/>
        <v>777609.42118078482</v>
      </c>
      <c r="J519" s="340">
        <f t="shared" si="195"/>
        <v>1.5707950408022469</v>
      </c>
      <c r="K519" s="348">
        <f t="shared" si="211"/>
        <v>11.90045247367599</v>
      </c>
      <c r="L519" s="349">
        <f t="shared" si="212"/>
        <v>1.4866667015287418</v>
      </c>
      <c r="M519" s="337">
        <f t="shared" si="196"/>
        <v>1.0023554100653944</v>
      </c>
      <c r="N519" s="340">
        <f t="shared" si="197"/>
        <v>6.8568156484316717E-2</v>
      </c>
      <c r="O519" s="341">
        <f t="shared" si="198"/>
        <v>1.0012047164864628</v>
      </c>
      <c r="P519" s="342">
        <f t="shared" si="199"/>
        <v>0.10822066201875367</v>
      </c>
      <c r="Q519" s="343">
        <f t="shared" si="200"/>
        <v>-3.4220315891368442</v>
      </c>
      <c r="R519" s="344">
        <f t="shared" si="201"/>
        <v>-68.198216264358749</v>
      </c>
      <c r="S519" s="346">
        <f t="shared" si="202"/>
        <v>111.80178373564125</v>
      </c>
      <c r="U519" s="319">
        <f t="shared" si="208"/>
        <v>71619.5</v>
      </c>
      <c r="V519" s="319">
        <f t="shared" si="209"/>
        <v>5129352780.25</v>
      </c>
      <c r="X519" s="345">
        <f t="shared" si="203"/>
        <v>1.3828288370878783</v>
      </c>
      <c r="Y519" s="346">
        <f t="shared" si="204"/>
        <v>-8.7488647633575063</v>
      </c>
      <c r="AA519" s="345">
        <f t="shared" si="205"/>
        <v>28.418768442707659</v>
      </c>
      <c r="AB519" s="346">
        <f t="shared" si="206"/>
        <v>-59.449351501001246</v>
      </c>
      <c r="AD519">
        <f t="shared" si="210"/>
        <v>0</v>
      </c>
      <c r="AE519">
        <f t="shared" si="213"/>
        <v>0</v>
      </c>
    </row>
    <row r="520" spans="1:31" x14ac:dyDescent="0.2">
      <c r="A520" s="347">
        <v>72031.75</v>
      </c>
      <c r="B520" s="364">
        <f t="shared" si="207"/>
        <v>72.031750000000002</v>
      </c>
      <c r="C520" s="337">
        <f t="shared" si="188"/>
        <v>1.6870778395915071</v>
      </c>
      <c r="D520" s="338">
        <f t="shared" si="189"/>
        <v>0.93633857552764077</v>
      </c>
      <c r="E520" s="338">
        <f t="shared" si="190"/>
        <v>1.000009049642316</v>
      </c>
      <c r="F520" s="339">
        <f t="shared" si="191"/>
        <v>4.2543093610485153E-3</v>
      </c>
      <c r="G520" s="338">
        <f t="shared" si="192"/>
        <v>1</v>
      </c>
      <c r="H520" s="339">
        <f t="shared" si="193"/>
        <v>0</v>
      </c>
      <c r="I520" s="337">
        <f t="shared" si="194"/>
        <v>782085.4295846587</v>
      </c>
      <c r="J520" s="340">
        <f t="shared" si="195"/>
        <v>1.5707950481622024</v>
      </c>
      <c r="K520" s="348">
        <f t="shared" si="211"/>
        <v>11.968470519404244</v>
      </c>
      <c r="L520" s="349">
        <f t="shared" si="212"/>
        <v>1.4871459403617968</v>
      </c>
      <c r="M520" s="337">
        <f t="shared" si="196"/>
        <v>1.0023825718047725</v>
      </c>
      <c r="N520" s="340">
        <f t="shared" si="197"/>
        <v>6.8961596012890369E-2</v>
      </c>
      <c r="O520" s="341">
        <f t="shared" si="198"/>
        <v>1.0012187431496689</v>
      </c>
      <c r="P520" s="342">
        <f t="shared" si="199"/>
        <v>0.1088445261321339</v>
      </c>
      <c r="Q520" s="343">
        <f t="shared" si="200"/>
        <v>-3.4550104484478137</v>
      </c>
      <c r="R520" s="344">
        <f t="shared" si="201"/>
        <v>-68.384775887530793</v>
      </c>
      <c r="S520" s="346">
        <f t="shared" si="202"/>
        <v>111.61522411246921</v>
      </c>
      <c r="U520" s="319">
        <f t="shared" si="208"/>
        <v>72031.75</v>
      </c>
      <c r="V520" s="319">
        <f t="shared" si="209"/>
        <v>5188573008.0625</v>
      </c>
      <c r="X520" s="345">
        <f t="shared" si="203"/>
        <v>1.3822434474572123</v>
      </c>
      <c r="Y520" s="346">
        <f t="shared" si="204"/>
        <v>-8.7439492470143367</v>
      </c>
      <c r="AA520" s="345">
        <f t="shared" si="205"/>
        <v>28.386374973027351</v>
      </c>
      <c r="AB520" s="346">
        <f t="shared" si="206"/>
        <v>-59.640826640516444</v>
      </c>
      <c r="AD520">
        <f t="shared" si="210"/>
        <v>0</v>
      </c>
      <c r="AE520">
        <f t="shared" si="213"/>
        <v>0</v>
      </c>
    </row>
    <row r="521" spans="1:31" x14ac:dyDescent="0.2">
      <c r="A521" s="347">
        <v>72444</v>
      </c>
      <c r="B521" s="364">
        <f t="shared" si="207"/>
        <v>72.444000000000003</v>
      </c>
      <c r="C521" s="337">
        <f t="shared" si="188"/>
        <v>1.693347190370631</v>
      </c>
      <c r="D521" s="338">
        <f t="shared" si="189"/>
        <v>0.93906064494745123</v>
      </c>
      <c r="E521" s="338">
        <f t="shared" si="190"/>
        <v>1.0000091535235538</v>
      </c>
      <c r="F521" s="339">
        <f t="shared" si="191"/>
        <v>4.2786572033563872E-3</v>
      </c>
      <c r="G521" s="338">
        <f t="shared" si="192"/>
        <v>1</v>
      </c>
      <c r="H521" s="339">
        <f t="shared" si="193"/>
        <v>0</v>
      </c>
      <c r="I521" s="337">
        <f t="shared" si="194"/>
        <v>786561.43798853282</v>
      </c>
      <c r="J521" s="340">
        <f t="shared" si="195"/>
        <v>1.5707950554383927</v>
      </c>
      <c r="K521" s="348">
        <f t="shared" si="211"/>
        <v>12.03649128286224</v>
      </c>
      <c r="L521" s="349">
        <f t="shared" si="212"/>
        <v>1.487619762742205</v>
      </c>
      <c r="M521" s="337">
        <f t="shared" si="196"/>
        <v>1.0024098886992001</v>
      </c>
      <c r="N521" s="340">
        <f t="shared" si="197"/>
        <v>6.935501415894442E-2</v>
      </c>
      <c r="O521" s="341">
        <f t="shared" si="198"/>
        <v>1.0012328530285923</v>
      </c>
      <c r="P521" s="342">
        <f t="shared" si="199"/>
        <v>0.10946840616300205</v>
      </c>
      <c r="Q521" s="343">
        <f t="shared" si="200"/>
        <v>-3.4879305630106066</v>
      </c>
      <c r="R521" s="344">
        <f t="shared" si="201"/>
        <v>-68.57048323473802</v>
      </c>
      <c r="S521" s="346">
        <f t="shared" si="202"/>
        <v>111.42951676526198</v>
      </c>
      <c r="U521" s="319">
        <f t="shared" si="208"/>
        <v>72444</v>
      </c>
      <c r="V521" s="319">
        <f t="shared" si="209"/>
        <v>5248133136</v>
      </c>
      <c r="X521" s="345">
        <f t="shared" si="203"/>
        <v>1.3816626508005503</v>
      </c>
      <c r="Y521" s="346">
        <f t="shared" si="204"/>
        <v>-8.7393428406206013</v>
      </c>
      <c r="AA521" s="345">
        <f t="shared" si="205"/>
        <v>28.354035655121223</v>
      </c>
      <c r="AB521" s="346">
        <f t="shared" si="206"/>
        <v>-59.831140394117426</v>
      </c>
      <c r="AD521">
        <f t="shared" si="210"/>
        <v>0</v>
      </c>
      <c r="AE521">
        <f t="shared" si="213"/>
        <v>0</v>
      </c>
    </row>
    <row r="522" spans="1:31" x14ac:dyDescent="0.2">
      <c r="A522" s="347">
        <v>72865.75</v>
      </c>
      <c r="B522" s="364">
        <f t="shared" si="207"/>
        <v>72.865750000000006</v>
      </c>
      <c r="C522" s="337">
        <f t="shared" si="188"/>
        <v>1.6997739009867217</v>
      </c>
      <c r="D522" s="338">
        <f t="shared" si="189"/>
        <v>0.94182464218372064</v>
      </c>
      <c r="E522" s="338">
        <f t="shared" si="190"/>
        <v>1.0000092604121309</v>
      </c>
      <c r="F522" s="339">
        <f t="shared" si="191"/>
        <v>4.3035661186482718E-3</v>
      </c>
      <c r="G522" s="338">
        <f t="shared" si="192"/>
        <v>1</v>
      </c>
      <c r="H522" s="339">
        <f t="shared" si="193"/>
        <v>0</v>
      </c>
      <c r="I522" s="337">
        <f t="shared" si="194"/>
        <v>791140.59273524932</v>
      </c>
      <c r="J522" s="340">
        <f t="shared" si="195"/>
        <v>1.5707950627970571</v>
      </c>
      <c r="K522" s="348">
        <f t="shared" si="211"/>
        <v>12.106082299731364</v>
      </c>
      <c r="L522" s="349">
        <f t="shared" si="212"/>
        <v>1.488098993881718</v>
      </c>
      <c r="M522" s="337">
        <f t="shared" si="196"/>
        <v>1.0024379956376688</v>
      </c>
      <c r="N522" s="340">
        <f t="shared" si="197"/>
        <v>6.9757476086205084E-2</v>
      </c>
      <c r="O522" s="341">
        <f t="shared" si="198"/>
        <v>1.0012473742220169</v>
      </c>
      <c r="P522" s="342">
        <f t="shared" si="199"/>
        <v>0.11010667961546393</v>
      </c>
      <c r="Q522" s="343">
        <f t="shared" si="200"/>
        <v>-3.5215480764423939</v>
      </c>
      <c r="R522" s="344">
        <f t="shared" si="201"/>
        <v>-68.759593680222821</v>
      </c>
      <c r="S522" s="346">
        <f t="shared" si="202"/>
        <v>111.24040631977718</v>
      </c>
      <c r="U522" s="319">
        <f t="shared" si="208"/>
        <v>72865.75</v>
      </c>
      <c r="V522" s="319">
        <f t="shared" si="209"/>
        <v>5309417523.0625</v>
      </c>
      <c r="X522" s="345">
        <f t="shared" si="203"/>
        <v>1.3810730845280053</v>
      </c>
      <c r="Y522" s="346">
        <f t="shared" si="204"/>
        <v>-8.7349447103773716</v>
      </c>
      <c r="AA522" s="345">
        <f t="shared" si="205"/>
        <v>28.321007707961982</v>
      </c>
      <c r="AB522" s="346">
        <f t="shared" si="206"/>
        <v>-60.024648969845437</v>
      </c>
      <c r="AD522">
        <f t="shared" si="210"/>
        <v>0</v>
      </c>
      <c r="AE522">
        <f t="shared" si="213"/>
        <v>0</v>
      </c>
    </row>
    <row r="523" spans="1:31" x14ac:dyDescent="0.2">
      <c r="A523" s="347">
        <v>73287.5</v>
      </c>
      <c r="B523" s="364">
        <f t="shared" si="207"/>
        <v>73.287499999999994</v>
      </c>
      <c r="C523" s="337">
        <f t="shared" si="188"/>
        <v>1.7062134994496745</v>
      </c>
      <c r="D523" s="338">
        <f t="shared" si="189"/>
        <v>0.94456779646435318</v>
      </c>
      <c r="E523" s="338">
        <f t="shared" si="190"/>
        <v>1.0000093679211677</v>
      </c>
      <c r="F523" s="339">
        <f t="shared" si="191"/>
        <v>4.3284750285997953E-3</v>
      </c>
      <c r="G523" s="338">
        <f t="shared" si="192"/>
        <v>1</v>
      </c>
      <c r="H523" s="339">
        <f t="shared" si="193"/>
        <v>0</v>
      </c>
      <c r="I523" s="337">
        <f t="shared" si="194"/>
        <v>795719.74748196593</v>
      </c>
      <c r="J523" s="340">
        <f t="shared" si="195"/>
        <v>1.5707950700710271</v>
      </c>
      <c r="K523" s="348">
        <f t="shared" si="211"/>
        <v>12.175676065130878</v>
      </c>
      <c r="L523" s="349">
        <f t="shared" si="212"/>
        <v>1.4885727467474601</v>
      </c>
      <c r="M523" s="337">
        <f t="shared" si="196"/>
        <v>1.0024662649375158</v>
      </c>
      <c r="N523" s="340">
        <f t="shared" si="197"/>
        <v>7.0159915379995136E-2</v>
      </c>
      <c r="O523" s="341">
        <f t="shared" si="198"/>
        <v>1.0012619826091389</v>
      </c>
      <c r="P523" s="342">
        <f t="shared" si="199"/>
        <v>0.11074496991065994</v>
      </c>
      <c r="Q523" s="343">
        <f t="shared" si="200"/>
        <v>-3.5551032493734747</v>
      </c>
      <c r="R523" s="344">
        <f t="shared" si="201"/>
        <v>-68.947823457950719</v>
      </c>
      <c r="S523" s="346">
        <f t="shared" si="202"/>
        <v>111.05217654204928</v>
      </c>
      <c r="U523" s="319">
        <f t="shared" si="208"/>
        <v>73287.5</v>
      </c>
      <c r="V523" s="319">
        <f t="shared" si="209"/>
        <v>5371057656.25</v>
      </c>
      <c r="X523" s="345">
        <f t="shared" si="203"/>
        <v>1.3804880480385844</v>
      </c>
      <c r="Y523" s="346">
        <f t="shared" si="204"/>
        <v>-8.7308591604456431</v>
      </c>
      <c r="AA523" s="345">
        <f t="shared" si="205"/>
        <v>28.288037571520324</v>
      </c>
      <c r="AB523" s="346">
        <f t="shared" si="206"/>
        <v>-60.216964297505072</v>
      </c>
      <c r="AD523">
        <f t="shared" si="210"/>
        <v>0</v>
      </c>
      <c r="AE523">
        <f t="shared" si="213"/>
        <v>0</v>
      </c>
    </row>
    <row r="524" spans="1:31" x14ac:dyDescent="0.2">
      <c r="A524" s="347">
        <v>73709.25</v>
      </c>
      <c r="B524" s="364">
        <f t="shared" si="207"/>
        <v>73.709249999999997</v>
      </c>
      <c r="C524" s="337">
        <f t="shared" si="188"/>
        <v>1.7126658403851502</v>
      </c>
      <c r="D524" s="338">
        <f t="shared" si="189"/>
        <v>0.94729030184452978</v>
      </c>
      <c r="E524" s="338">
        <f t="shared" si="190"/>
        <v>1.0000094760506637</v>
      </c>
      <c r="F524" s="339">
        <f t="shared" si="191"/>
        <v>4.3533839331800486E-3</v>
      </c>
      <c r="G524" s="338">
        <f t="shared" si="192"/>
        <v>1</v>
      </c>
      <c r="H524" s="339">
        <f t="shared" si="193"/>
        <v>0</v>
      </c>
      <c r="I524" s="337">
        <f t="shared" si="194"/>
        <v>800298.9022286823</v>
      </c>
      <c r="J524" s="340">
        <f t="shared" si="195"/>
        <v>1.5707950772617569</v>
      </c>
      <c r="K524" s="348">
        <f t="shared" si="211"/>
        <v>12.245272532198472</v>
      </c>
      <c r="L524" s="349">
        <f t="shared" si="212"/>
        <v>1.489041114532863</v>
      </c>
      <c r="M524" s="337">
        <f t="shared" si="196"/>
        <v>1.0024946965850059</v>
      </c>
      <c r="N524" s="340">
        <f t="shared" si="197"/>
        <v>7.0562331911878801E-2</v>
      </c>
      <c r="O524" s="341">
        <f t="shared" si="198"/>
        <v>1.0012766782401938</v>
      </c>
      <c r="P524" s="342">
        <f t="shared" si="199"/>
        <v>0.1113832771410961</v>
      </c>
      <c r="Q524" s="343">
        <f t="shared" si="200"/>
        <v>-3.5885956728437822</v>
      </c>
      <c r="R524" s="344">
        <f t="shared" si="201"/>
        <v>-69.135178344900751</v>
      </c>
      <c r="S524" s="346">
        <f t="shared" si="202"/>
        <v>110.86482165509925</v>
      </c>
      <c r="U524" s="319">
        <f t="shared" si="208"/>
        <v>73709.25</v>
      </c>
      <c r="V524" s="319">
        <f t="shared" si="209"/>
        <v>5433053535.5625</v>
      </c>
      <c r="X524" s="345">
        <f t="shared" si="203"/>
        <v>1.3799074069994126</v>
      </c>
      <c r="Y524" s="346">
        <f t="shared" si="204"/>
        <v>-8.7270808439595431</v>
      </c>
      <c r="AA524" s="345">
        <f t="shared" si="205"/>
        <v>28.255125789089185</v>
      </c>
      <c r="AB524" s="346">
        <f t="shared" si="206"/>
        <v>-60.408097500941196</v>
      </c>
      <c r="AD524">
        <f t="shared" si="210"/>
        <v>0</v>
      </c>
      <c r="AE524">
        <f t="shared" si="213"/>
        <v>0</v>
      </c>
    </row>
    <row r="525" spans="1:31" x14ac:dyDescent="0.2">
      <c r="A525" s="347">
        <v>74131</v>
      </c>
      <c r="B525" s="364">
        <f t="shared" si="207"/>
        <v>74.131</v>
      </c>
      <c r="C525" s="337">
        <f t="shared" ref="C525:C588" si="214">SQRT(1+(A525/pole1)^2)</f>
        <v>1.7191307803158029</v>
      </c>
      <c r="D525" s="338">
        <f t="shared" ref="D525:D588" si="215">ATAN(A525/pole1)</f>
        <v>0.94999235069343568</v>
      </c>
      <c r="E525" s="338">
        <f t="shared" ref="E525:E588" si="216">SQRT(1+(A525/Zero1)^2)</f>
        <v>1.0000095848006194</v>
      </c>
      <c r="F525" s="339">
        <f t="shared" ref="F525:F588" si="217">ATAN(A525/Zero1)</f>
        <v>4.3782928323581249E-3</v>
      </c>
      <c r="G525" s="338">
        <f t="shared" ref="G525:G588" si="218">IF(VIN_nom&gt;Vout, 1, SQRT(1+(A525/z_RHP)^2))</f>
        <v>1</v>
      </c>
      <c r="H525" s="339">
        <f t="shared" ref="H525:H588" si="219">IF(VIN_nom&gt;Vout, 0, -ATAN(A525/z_RHP))</f>
        <v>0</v>
      </c>
      <c r="I525" s="337">
        <f t="shared" ref="I525:I588" si="220">SQRT(1+(A525/Pole2)^2)</f>
        <v>804878.05697539903</v>
      </c>
      <c r="J525" s="340">
        <f t="shared" ref="J525:J588" si="221">ATAN(A525/Pole2)</f>
        <v>1.5707950843706668</v>
      </c>
      <c r="K525" s="348">
        <f t="shared" si="211"/>
        <v>12.314871655129393</v>
      </c>
      <c r="L525" s="349">
        <f t="shared" si="212"/>
        <v>1.4895041883341513</v>
      </c>
      <c r="M525" s="337">
        <f t="shared" ref="M525:M588" si="222">SQRT(1+(A525/pole4)^2)</f>
        <v>1.0025232905663264</v>
      </c>
      <c r="N525" s="340">
        <f t="shared" ref="N525:N588" si="223">ATAN(A525/pole4)</f>
        <v>7.0964725553464336E-2</v>
      </c>
      <c r="O525" s="341">
        <f t="shared" ref="O525:O588" si="224">SQRT((1-(V525/pterm2))^2+(A525/pterm1)^2)</f>
        <v>1.001291461165704</v>
      </c>
      <c r="P525" s="342">
        <f t="shared" ref="P525:P588" si="225">IF((ATAN((A525/pterm1)/(1-A525^2/pterm2))&gt;0),ATAN((A525/pterm1)/(1-A525^2/pterm2)),PI()+ATAN((A525/pterm1)/(1-A525^2/pterm2)))</f>
        <v>0.11202160139919233</v>
      </c>
      <c r="Q525" s="343">
        <f t="shared" ref="Q525:Q588" si="226">20*LOG10(((E525*K525*G525)/(C525*I525*O525*M525))*Adc)</f>
        <v>-3.6220249539111959</v>
      </c>
      <c r="R525" s="344">
        <f t="shared" ref="R525:R588" si="227">((F525+L525+H525)-(D525+J525+P525+N525))*radconv</f>
        <v>-69.32166414160821</v>
      </c>
      <c r="S525" s="346">
        <f t="shared" ref="S525:S588" si="228">IF(R525&gt;0,R525,R525+180)</f>
        <v>110.67833585839179</v>
      </c>
      <c r="U525" s="319">
        <f t="shared" si="208"/>
        <v>74131</v>
      </c>
      <c r="V525" s="319">
        <f t="shared" si="209"/>
        <v>5495405161</v>
      </c>
      <c r="X525" s="345">
        <f t="shared" ref="X525:X588" si="229">20*LOG10((K525/(I525*M525))*AEA)</f>
        <v>1.3793310308707061</v>
      </c>
      <c r="Y525" s="346">
        <f t="shared" ref="Y525:Y588" si="230">(L525-(J525+N525))*radconv</f>
        <v>-8.7236045342149602</v>
      </c>
      <c r="AA525" s="345">
        <f t="shared" ref="AA525:AA588" si="231">20*LOG10((E525*G525/(C525*O525))*Acs*Am)</f>
        <v>28.222272884150481</v>
      </c>
      <c r="AB525" s="346">
        <f t="shared" ref="AB525:AB588" si="232">(F525+H525-(D525+P525))*radconv</f>
        <v>-60.59805960739326</v>
      </c>
      <c r="AD525">
        <f t="shared" si="210"/>
        <v>0</v>
      </c>
      <c r="AE525">
        <f t="shared" si="213"/>
        <v>0</v>
      </c>
    </row>
    <row r="526" spans="1:31" x14ac:dyDescent="0.2">
      <c r="A526" s="347">
        <v>74562.75</v>
      </c>
      <c r="B526" s="364">
        <f t="shared" ref="B526:B589" si="233">A526/1000</f>
        <v>74.562749999999994</v>
      </c>
      <c r="C526" s="337">
        <f t="shared" si="214"/>
        <v>1.7257619114903411</v>
      </c>
      <c r="D526" s="338">
        <f t="shared" si="215"/>
        <v>0.95273747632039818</v>
      </c>
      <c r="E526" s="338">
        <f t="shared" si="216"/>
        <v>1.0000096967718164</v>
      </c>
      <c r="F526" s="339">
        <f t="shared" si="217"/>
        <v>4.4037923340688135E-3</v>
      </c>
      <c r="G526" s="338">
        <f t="shared" si="218"/>
        <v>1</v>
      </c>
      <c r="H526" s="339">
        <f t="shared" si="219"/>
        <v>0</v>
      </c>
      <c r="I526" s="337">
        <f t="shared" si="220"/>
        <v>809565.78681984451</v>
      </c>
      <c r="J526" s="340">
        <f t="shared" si="221"/>
        <v>1.570795091564831</v>
      </c>
      <c r="K526" s="348">
        <f t="shared" si="211"/>
        <v>12.386123728336337</v>
      </c>
      <c r="L526" s="349">
        <f t="shared" si="212"/>
        <v>1.4899728511611003</v>
      </c>
      <c r="M526" s="337">
        <f t="shared" si="222"/>
        <v>1.0025527306703328</v>
      </c>
      <c r="N526" s="340">
        <f t="shared" si="223"/>
        <v>7.1376636396829077E-2</v>
      </c>
      <c r="O526" s="341">
        <f t="shared" si="224"/>
        <v>1.0013066850819201</v>
      </c>
      <c r="P526" s="342">
        <f t="shared" si="225"/>
        <v>0.11267507852530591</v>
      </c>
      <c r="Q526" s="343">
        <f t="shared" si="226"/>
        <v>-3.6561810679570068</v>
      </c>
      <c r="R526" s="344">
        <f t="shared" si="227"/>
        <v>-69.511677485047286</v>
      </c>
      <c r="S526" s="346">
        <f t="shared" si="228"/>
        <v>110.48832251495271</v>
      </c>
      <c r="U526" s="319">
        <f t="shared" ref="U526:U589" si="234">IF(Q526&lt;0,A526,1000000000)</f>
        <v>74562.75</v>
      </c>
      <c r="V526" s="319">
        <f t="shared" ref="V526:V589" si="235">A526^2</f>
        <v>5559603687.5625</v>
      </c>
      <c r="X526" s="345">
        <f t="shared" si="229"/>
        <v>1.3787452738005195</v>
      </c>
      <c r="Y526" s="346">
        <f t="shared" si="230"/>
        <v>-8.7203532972681082</v>
      </c>
      <c r="AA526" s="345">
        <f t="shared" si="231"/>
        <v>28.188702527174851</v>
      </c>
      <c r="AB526" s="346">
        <f t="shared" si="232"/>
        <v>-60.791324187779196</v>
      </c>
      <c r="AD526">
        <f t="shared" ref="AD526:AD589" si="236">SUM((Q527&lt;0)*(Q526&gt;0))*A526</f>
        <v>0</v>
      </c>
      <c r="AE526">
        <f t="shared" si="213"/>
        <v>0</v>
      </c>
    </row>
    <row r="527" spans="1:31" x14ac:dyDescent="0.2">
      <c r="A527" s="347">
        <v>74994.5</v>
      </c>
      <c r="B527" s="364">
        <f t="shared" si="233"/>
        <v>74.994500000000002</v>
      </c>
      <c r="C527" s="337">
        <f t="shared" si="214"/>
        <v>1.7324059479000462</v>
      </c>
      <c r="D527" s="338">
        <f t="shared" si="215"/>
        <v>0.95546156640816082</v>
      </c>
      <c r="E527" s="338">
        <f t="shared" si="216"/>
        <v>1.0000098093932439</v>
      </c>
      <c r="F527" s="339">
        <f t="shared" si="217"/>
        <v>4.4292918300525589E-3</v>
      </c>
      <c r="G527" s="338">
        <f t="shared" si="218"/>
        <v>1</v>
      </c>
      <c r="H527" s="339">
        <f t="shared" si="219"/>
        <v>0</v>
      </c>
      <c r="I527" s="337">
        <f t="shared" si="220"/>
        <v>814253.5166642901</v>
      </c>
      <c r="J527" s="340">
        <f t="shared" si="221"/>
        <v>1.5707950986761603</v>
      </c>
      <c r="K527" s="348">
        <f t="shared" si="211"/>
        <v>12.4573784909699</v>
      </c>
      <c r="L527" s="349">
        <f t="shared" si="212"/>
        <v>1.4904361526946281</v>
      </c>
      <c r="M527" s="337">
        <f t="shared" si="222"/>
        <v>1.0025823408679984</v>
      </c>
      <c r="N527" s="340">
        <f t="shared" si="223"/>
        <v>7.1788522979382555E-2</v>
      </c>
      <c r="O527" s="341">
        <f t="shared" si="224"/>
        <v>1.0013220005893646</v>
      </c>
      <c r="P527" s="342">
        <f t="shared" si="225"/>
        <v>0.11332857369185606</v>
      </c>
      <c r="Q527" s="343">
        <f t="shared" si="226"/>
        <v>-3.6902702264557528</v>
      </c>
      <c r="R527" s="344">
        <f t="shared" si="227"/>
        <v>-69.700792399535999</v>
      </c>
      <c r="S527" s="346">
        <f t="shared" si="228"/>
        <v>110.299207600464</v>
      </c>
      <c r="U527" s="319">
        <f t="shared" si="234"/>
        <v>74994.5</v>
      </c>
      <c r="V527" s="319">
        <f t="shared" si="235"/>
        <v>5624175030.25</v>
      </c>
      <c r="X527" s="345">
        <f t="shared" si="229"/>
        <v>1.3781637210701105</v>
      </c>
      <c r="Y527" s="346">
        <f t="shared" si="230"/>
        <v>-8.717407845019201</v>
      </c>
      <c r="AA527" s="345">
        <f t="shared" si="231"/>
        <v>28.155194921406515</v>
      </c>
      <c r="AB527" s="346">
        <f t="shared" si="232"/>
        <v>-60.98338455451681</v>
      </c>
      <c r="AD527">
        <f t="shared" si="236"/>
        <v>0</v>
      </c>
      <c r="AE527">
        <f t="shared" si="213"/>
        <v>0</v>
      </c>
    </row>
    <row r="528" spans="1:31" x14ac:dyDescent="0.2">
      <c r="A528" s="347">
        <v>75426.25</v>
      </c>
      <c r="B528" s="364">
        <f t="shared" si="233"/>
        <v>75.426249999999996</v>
      </c>
      <c r="C528" s="337">
        <f t="shared" si="214"/>
        <v>1.7390627416327469</v>
      </c>
      <c r="D528" s="338">
        <f t="shared" si="215"/>
        <v>0.9581648218547798</v>
      </c>
      <c r="E528" s="338">
        <f t="shared" si="216"/>
        <v>1.0000099226649022</v>
      </c>
      <c r="F528" s="339">
        <f t="shared" si="217"/>
        <v>4.454791320276201E-3</v>
      </c>
      <c r="G528" s="338">
        <f t="shared" si="218"/>
        <v>1</v>
      </c>
      <c r="H528" s="339">
        <f t="shared" si="219"/>
        <v>0</v>
      </c>
      <c r="I528" s="337">
        <f t="shared" si="220"/>
        <v>818941.2465087357</v>
      </c>
      <c r="J528" s="340">
        <f t="shared" si="221"/>
        <v>1.5707951057060769</v>
      </c>
      <c r="K528" s="348">
        <f t="shared" si="211"/>
        <v>12.528635897142934</v>
      </c>
      <c r="L528" s="349">
        <f t="shared" si="212"/>
        <v>1.4908941842122068</v>
      </c>
      <c r="M528" s="337">
        <f t="shared" si="222"/>
        <v>1.0026121211442534</v>
      </c>
      <c r="N528" s="340">
        <f t="shared" si="223"/>
        <v>7.2200385163526934E-2</v>
      </c>
      <c r="O528" s="341">
        <f t="shared" si="224"/>
        <v>1.0013374077431716</v>
      </c>
      <c r="P528" s="342">
        <f t="shared" si="225"/>
        <v>0.11398208699771017</v>
      </c>
      <c r="Q528" s="343">
        <f t="shared" si="226"/>
        <v>-3.7242920578723604</v>
      </c>
      <c r="R528" s="344">
        <f t="shared" si="227"/>
        <v>-69.889015163735507</v>
      </c>
      <c r="S528" s="346">
        <f t="shared" si="228"/>
        <v>110.11098483626449</v>
      </c>
      <c r="U528" s="319">
        <f t="shared" si="234"/>
        <v>75426.25</v>
      </c>
      <c r="V528" s="319">
        <f t="shared" si="235"/>
        <v>5689119189.0625</v>
      </c>
      <c r="X528" s="345">
        <f t="shared" si="229"/>
        <v>1.3775862441692435</v>
      </c>
      <c r="Y528" s="346">
        <f t="shared" si="230"/>
        <v>-8.7147629398520117</v>
      </c>
      <c r="AA528" s="345">
        <f t="shared" si="231"/>
        <v>28.121750566890778</v>
      </c>
      <c r="AB528" s="346">
        <f t="shared" si="232"/>
        <v>-61.174252223883471</v>
      </c>
      <c r="AD528">
        <f t="shared" si="236"/>
        <v>0</v>
      </c>
      <c r="AE528">
        <f t="shared" si="213"/>
        <v>0</v>
      </c>
    </row>
    <row r="529" spans="1:31" x14ac:dyDescent="0.2">
      <c r="A529" s="347">
        <v>75858</v>
      </c>
      <c r="B529" s="364">
        <f t="shared" si="233"/>
        <v>75.858000000000004</v>
      </c>
      <c r="C529" s="337">
        <f t="shared" si="214"/>
        <v>1.7457321467504803</v>
      </c>
      <c r="D529" s="338">
        <f t="shared" si="215"/>
        <v>0.96084744171509762</v>
      </c>
      <c r="E529" s="338">
        <f t="shared" si="216"/>
        <v>1.0000100365867908</v>
      </c>
      <c r="F529" s="339">
        <f t="shared" si="217"/>
        <v>4.4802908047065831E-3</v>
      </c>
      <c r="G529" s="338">
        <f t="shared" si="218"/>
        <v>1</v>
      </c>
      <c r="H529" s="339">
        <f t="shared" si="219"/>
        <v>0</v>
      </c>
      <c r="I529" s="337">
        <f t="shared" si="220"/>
        <v>823628.97635318153</v>
      </c>
      <c r="J529" s="340">
        <f t="shared" si="221"/>
        <v>1.5707951126559716</v>
      </c>
      <c r="K529" s="348">
        <f t="shared" si="211"/>
        <v>12.599895902004645</v>
      </c>
      <c r="L529" s="349">
        <f t="shared" si="212"/>
        <v>1.4913470349353524</v>
      </c>
      <c r="M529" s="337">
        <f t="shared" si="222"/>
        <v>1.0026420714839424</v>
      </c>
      <c r="N529" s="340">
        <f t="shared" si="223"/>
        <v>7.2612222811713714E-2</v>
      </c>
      <c r="O529" s="341">
        <f t="shared" si="224"/>
        <v>1.0013529065987881</v>
      </c>
      <c r="P529" s="342">
        <f t="shared" si="225"/>
        <v>0.11463561854163892</v>
      </c>
      <c r="Q529" s="343">
        <f t="shared" si="226"/>
        <v>-3.7582462068325162</v>
      </c>
      <c r="R529" s="344">
        <f t="shared" si="227"/>
        <v>-70.076352068491545</v>
      </c>
      <c r="S529" s="346">
        <f t="shared" si="228"/>
        <v>109.92364793150846</v>
      </c>
      <c r="U529" s="319">
        <f t="shared" si="234"/>
        <v>75858</v>
      </c>
      <c r="V529" s="319">
        <f t="shared" si="235"/>
        <v>5754436164</v>
      </c>
      <c r="X529" s="345">
        <f t="shared" si="229"/>
        <v>1.3770127182200254</v>
      </c>
      <c r="Y529" s="346">
        <f t="shared" si="230"/>
        <v>-8.7124134619489624</v>
      </c>
      <c r="AA529" s="345">
        <f t="shared" si="231"/>
        <v>28.08836994387984</v>
      </c>
      <c r="AB529" s="346">
        <f t="shared" si="232"/>
        <v>-61.363938606542561</v>
      </c>
      <c r="AD529">
        <f t="shared" si="236"/>
        <v>0</v>
      </c>
      <c r="AE529">
        <f t="shared" si="213"/>
        <v>0</v>
      </c>
    </row>
    <row r="530" spans="1:31" x14ac:dyDescent="0.2">
      <c r="A530" s="347">
        <v>76299.75</v>
      </c>
      <c r="B530" s="364">
        <f t="shared" si="233"/>
        <v>76.299750000000003</v>
      </c>
      <c r="C530" s="337">
        <f t="shared" si="214"/>
        <v>1.7525689283862709</v>
      </c>
      <c r="D530" s="338">
        <f t="shared" si="215"/>
        <v>0.96357104284965656</v>
      </c>
      <c r="E530" s="338">
        <f t="shared" si="216"/>
        <v>1.0000101538202821</v>
      </c>
      <c r="F530" s="339">
        <f t="shared" si="217"/>
        <v>4.5063808907364116E-3</v>
      </c>
      <c r="G530" s="338">
        <f t="shared" si="218"/>
        <v>1</v>
      </c>
      <c r="H530" s="339">
        <f t="shared" si="219"/>
        <v>0</v>
      </c>
      <c r="I530" s="337">
        <f t="shared" si="220"/>
        <v>828425.28129535622</v>
      </c>
      <c r="J530" s="340">
        <f t="shared" si="221"/>
        <v>1.5707951196854293</v>
      </c>
      <c r="K530" s="348">
        <f t="shared" si="211"/>
        <v>12.672809043109289</v>
      </c>
      <c r="L530" s="349">
        <f t="shared" si="212"/>
        <v>1.4918051031689716</v>
      </c>
      <c r="M530" s="337">
        <f t="shared" si="222"/>
        <v>1.0026728915215306</v>
      </c>
      <c r="N530" s="340">
        <f t="shared" si="223"/>
        <v>7.3033573720545822E-2</v>
      </c>
      <c r="O530" s="341">
        <f t="shared" si="224"/>
        <v>1.0013688594024541</v>
      </c>
      <c r="P530" s="342">
        <f t="shared" si="225"/>
        <v>0.11530430586980658</v>
      </c>
      <c r="Q530" s="343">
        <f t="shared" si="226"/>
        <v>-3.7929163804441828</v>
      </c>
      <c r="R530" s="344">
        <f t="shared" si="227"/>
        <v>-70.267117683710964</v>
      </c>
      <c r="S530" s="346">
        <f t="shared" si="228"/>
        <v>109.73288231628904</v>
      </c>
      <c r="U530" s="319">
        <f t="shared" si="234"/>
        <v>76299.75</v>
      </c>
      <c r="V530" s="319">
        <f t="shared" si="235"/>
        <v>5821651850.0625</v>
      </c>
      <c r="X530" s="345">
        <f t="shared" si="229"/>
        <v>1.3764298712305529</v>
      </c>
      <c r="Y530" s="346">
        <f t="shared" si="230"/>
        <v>-8.7103101169595067</v>
      </c>
      <c r="AA530" s="345">
        <f t="shared" si="231"/>
        <v>28.054282617257641</v>
      </c>
      <c r="AB530" s="346">
        <f t="shared" si="232"/>
        <v>-61.556807566751466</v>
      </c>
      <c r="AD530">
        <f t="shared" si="236"/>
        <v>0</v>
      </c>
      <c r="AE530">
        <f t="shared" si="213"/>
        <v>0</v>
      </c>
    </row>
    <row r="531" spans="1:31" x14ac:dyDescent="0.2">
      <c r="A531" s="347">
        <v>76741.5</v>
      </c>
      <c r="B531" s="364">
        <f t="shared" si="233"/>
        <v>76.741500000000002</v>
      </c>
      <c r="C531" s="337">
        <f t="shared" si="214"/>
        <v>1.7594186094922222</v>
      </c>
      <c r="D531" s="338">
        <f t="shared" si="215"/>
        <v>0.96627345712376611</v>
      </c>
      <c r="E531" s="338">
        <f t="shared" si="216"/>
        <v>1.0000102717344728</v>
      </c>
      <c r="F531" s="339">
        <f t="shared" si="217"/>
        <v>4.5324709706312805E-3</v>
      </c>
      <c r="G531" s="338">
        <f t="shared" si="218"/>
        <v>1</v>
      </c>
      <c r="H531" s="339">
        <f t="shared" si="219"/>
        <v>0</v>
      </c>
      <c r="I531" s="337">
        <f t="shared" si="220"/>
        <v>833221.58623753081</v>
      </c>
      <c r="J531" s="340">
        <f t="shared" si="221"/>
        <v>1.5707951266339593</v>
      </c>
      <c r="K531" s="348">
        <f t="shared" si="211"/>
        <v>12.745724812881686</v>
      </c>
      <c r="L531" s="349">
        <f t="shared" si="212"/>
        <v>1.4922579304612407</v>
      </c>
      <c r="M531" s="337">
        <f t="shared" si="222"/>
        <v>1.0027038895592817</v>
      </c>
      <c r="N531" s="340">
        <f t="shared" si="223"/>
        <v>7.3454898652512729E-2</v>
      </c>
      <c r="O531" s="341">
        <f t="shared" si="224"/>
        <v>1.0013849083234783</v>
      </c>
      <c r="P531" s="342">
        <f t="shared" si="225"/>
        <v>0.11597301249955742</v>
      </c>
      <c r="Q531" s="343">
        <f t="shared" si="226"/>
        <v>-3.827514997657357</v>
      </c>
      <c r="R531" s="344">
        <f t="shared" si="227"/>
        <v>-70.456969278313721</v>
      </c>
      <c r="S531" s="346">
        <f t="shared" si="228"/>
        <v>109.54303072168628</v>
      </c>
      <c r="U531" s="319">
        <f t="shared" si="234"/>
        <v>76741.5</v>
      </c>
      <c r="V531" s="319">
        <f t="shared" si="235"/>
        <v>5889257822.25</v>
      </c>
      <c r="X531" s="345">
        <f t="shared" si="229"/>
        <v>1.3758509069690041</v>
      </c>
      <c r="Y531" s="346">
        <f t="shared" si="230"/>
        <v>-8.7085055627888739</v>
      </c>
      <c r="AA531" s="345">
        <f t="shared" si="231"/>
        <v>28.020262964306021</v>
      </c>
      <c r="AB531" s="346">
        <f t="shared" si="232"/>
        <v>-61.748463715524856</v>
      </c>
      <c r="AD531">
        <f t="shared" si="236"/>
        <v>0</v>
      </c>
      <c r="AE531">
        <f t="shared" si="213"/>
        <v>0</v>
      </c>
    </row>
    <row r="532" spans="1:31" x14ac:dyDescent="0.2">
      <c r="A532" s="347">
        <v>77183.25</v>
      </c>
      <c r="B532" s="364">
        <f t="shared" si="233"/>
        <v>77.183250000000001</v>
      </c>
      <c r="C532" s="337">
        <f t="shared" si="214"/>
        <v>1.7662810399949576</v>
      </c>
      <c r="D532" s="338">
        <f t="shared" si="215"/>
        <v>0.96895489178338645</v>
      </c>
      <c r="E532" s="338">
        <f t="shared" si="216"/>
        <v>1.0000103903293627</v>
      </c>
      <c r="F532" s="339">
        <f t="shared" si="217"/>
        <v>4.5585610443556719E-3</v>
      </c>
      <c r="G532" s="338">
        <f t="shared" si="218"/>
        <v>1</v>
      </c>
      <c r="H532" s="339">
        <f t="shared" si="219"/>
        <v>0</v>
      </c>
      <c r="I532" s="337">
        <f t="shared" si="220"/>
        <v>838017.8911797055</v>
      </c>
      <c r="J532" s="340">
        <f t="shared" si="221"/>
        <v>1.5707951335029509</v>
      </c>
      <c r="K532" s="348">
        <f t="shared" si="211"/>
        <v>12.818643166464206</v>
      </c>
      <c r="L532" s="349">
        <f t="shared" si="212"/>
        <v>1.4927056060635238</v>
      </c>
      <c r="M532" s="337">
        <f t="shared" si="222"/>
        <v>1.0027350655806877</v>
      </c>
      <c r="N532" s="340">
        <f t="shared" si="223"/>
        <v>7.3876197460447796E-2</v>
      </c>
      <c r="O532" s="341">
        <f t="shared" si="224"/>
        <v>1.0014010534222706</v>
      </c>
      <c r="P532" s="342">
        <f t="shared" si="225"/>
        <v>0.11664173853636715</v>
      </c>
      <c r="Q532" s="343">
        <f t="shared" si="226"/>
        <v>-3.8620417280775121</v>
      </c>
      <c r="R532" s="344">
        <f t="shared" si="227"/>
        <v>-70.645913610585083</v>
      </c>
      <c r="S532" s="346">
        <f t="shared" si="228"/>
        <v>109.35408638941492</v>
      </c>
      <c r="U532" s="319">
        <f t="shared" si="234"/>
        <v>77183.25</v>
      </c>
      <c r="V532" s="319">
        <f t="shared" si="235"/>
        <v>5957254080.5625</v>
      </c>
      <c r="X532" s="345">
        <f t="shared" si="229"/>
        <v>1.3752757027048728</v>
      </c>
      <c r="Y532" s="346">
        <f t="shared" si="230"/>
        <v>-8.7069946773581499</v>
      </c>
      <c r="AA532" s="345">
        <f t="shared" si="231"/>
        <v>27.986311438149997</v>
      </c>
      <c r="AB532" s="346">
        <f t="shared" si="232"/>
        <v>-61.938918933226937</v>
      </c>
      <c r="AD532">
        <f t="shared" si="236"/>
        <v>0</v>
      </c>
      <c r="AE532">
        <f t="shared" si="213"/>
        <v>0</v>
      </c>
    </row>
    <row r="533" spans="1:31" x14ac:dyDescent="0.2">
      <c r="A533" s="347">
        <v>77625</v>
      </c>
      <c r="B533" s="364">
        <f t="shared" si="233"/>
        <v>77.625</v>
      </c>
      <c r="C533" s="337">
        <f t="shared" si="214"/>
        <v>1.7731560718671595</v>
      </c>
      <c r="D533" s="338">
        <f t="shared" si="215"/>
        <v>0.97161555207599326</v>
      </c>
      <c r="E533" s="338">
        <f t="shared" si="216"/>
        <v>1.0000105096049512</v>
      </c>
      <c r="F533" s="339">
        <f t="shared" si="217"/>
        <v>4.5846511118740694E-3</v>
      </c>
      <c r="G533" s="338">
        <f t="shared" si="218"/>
        <v>1</v>
      </c>
      <c r="H533" s="339">
        <f t="shared" si="219"/>
        <v>0</v>
      </c>
      <c r="I533" s="337">
        <f t="shared" si="220"/>
        <v>842814.19612188032</v>
      </c>
      <c r="J533" s="340">
        <f t="shared" si="221"/>
        <v>1.5707951402937619</v>
      </c>
      <c r="K533" s="348">
        <f t="shared" si="211"/>
        <v>12.891564060012552</v>
      </c>
      <c r="L533" s="349">
        <f t="shared" si="212"/>
        <v>1.4931482172161574</v>
      </c>
      <c r="M533" s="337">
        <f t="shared" si="222"/>
        <v>1.0027664195691486</v>
      </c>
      <c r="N533" s="340">
        <f t="shared" si="223"/>
        <v>7.4297469997239685E-2</v>
      </c>
      <c r="O533" s="341">
        <f t="shared" si="224"/>
        <v>1.0014172947595852</v>
      </c>
      <c r="P533" s="342">
        <f t="shared" si="225"/>
        <v>0.11731048408560305</v>
      </c>
      <c r="Q533" s="343">
        <f t="shared" si="226"/>
        <v>-3.8964962574972666</v>
      </c>
      <c r="R533" s="344">
        <f t="shared" si="227"/>
        <v>-70.833957439524156</v>
      </c>
      <c r="S533" s="346">
        <f t="shared" si="228"/>
        <v>109.16604256047584</v>
      </c>
      <c r="U533" s="319">
        <f t="shared" si="234"/>
        <v>77625</v>
      </c>
      <c r="V533" s="319">
        <f t="shared" si="235"/>
        <v>6025640625</v>
      </c>
      <c r="X533" s="345">
        <f t="shared" si="229"/>
        <v>1.3747041391784114</v>
      </c>
      <c r="Y533" s="346">
        <f t="shared" si="230"/>
        <v>-8.7057724538131733</v>
      </c>
      <c r="AA533" s="345">
        <f t="shared" si="231"/>
        <v>27.952428472256699</v>
      </c>
      <c r="AB533" s="346">
        <f t="shared" si="232"/>
        <v>-62.128184985710973</v>
      </c>
      <c r="AD533">
        <f t="shared" si="236"/>
        <v>0</v>
      </c>
      <c r="AE533">
        <f t="shared" si="213"/>
        <v>0</v>
      </c>
    </row>
    <row r="534" spans="1:31" x14ac:dyDescent="0.2">
      <c r="A534" s="347">
        <v>78077</v>
      </c>
      <c r="B534" s="364">
        <f t="shared" si="233"/>
        <v>78.076999999999998</v>
      </c>
      <c r="C534" s="337">
        <f t="shared" si="214"/>
        <v>1.7802035173283224</v>
      </c>
      <c r="D534" s="338">
        <f t="shared" si="215"/>
        <v>0.9743166571137859</v>
      </c>
      <c r="E534" s="338">
        <f t="shared" si="216"/>
        <v>1.0000106323526847</v>
      </c>
      <c r="F534" s="339">
        <f t="shared" si="217"/>
        <v>4.6113465451831778E-3</v>
      </c>
      <c r="G534" s="338">
        <f t="shared" si="218"/>
        <v>1</v>
      </c>
      <c r="H534" s="339">
        <f t="shared" si="219"/>
        <v>0</v>
      </c>
      <c r="I534" s="337">
        <f t="shared" si="220"/>
        <v>847721.79053922719</v>
      </c>
      <c r="J534" s="340">
        <f t="shared" si="221"/>
        <v>1.5707951471626032</v>
      </c>
      <c r="K534" s="348">
        <f t="shared" si="211"/>
        <v>12.966179533745636</v>
      </c>
      <c r="L534" s="349">
        <f t="shared" si="212"/>
        <v>1.493595945218396</v>
      </c>
      <c r="M534" s="337">
        <f t="shared" si="222"/>
        <v>1.0027986852611579</v>
      </c>
      <c r="N534" s="340">
        <f t="shared" si="223"/>
        <v>7.472849004602139E-2</v>
      </c>
      <c r="O534" s="341">
        <f t="shared" si="224"/>
        <v>1.0014340126251171</v>
      </c>
      <c r="P534" s="342">
        <f t="shared" si="225"/>
        <v>0.11799476695757447</v>
      </c>
      <c r="Q534" s="343">
        <f t="shared" si="226"/>
        <v>-3.931675196666407</v>
      </c>
      <c r="R534" s="344">
        <f t="shared" si="227"/>
        <v>-71.025439441664389</v>
      </c>
      <c r="S534" s="346">
        <f t="shared" si="228"/>
        <v>108.97456055833561</v>
      </c>
      <c r="U534" s="319">
        <f t="shared" si="234"/>
        <v>78077</v>
      </c>
      <c r="V534" s="319">
        <f t="shared" si="235"/>
        <v>6096017929</v>
      </c>
      <c r="X534" s="345">
        <f t="shared" si="229"/>
        <v>1.374122961120404</v>
      </c>
      <c r="Y534" s="346">
        <f t="shared" si="230"/>
        <v>-8.7048155521503219</v>
      </c>
      <c r="AA534" s="345">
        <f t="shared" si="231"/>
        <v>27.917830711145566</v>
      </c>
      <c r="AB534" s="346">
        <f t="shared" si="232"/>
        <v>-62.320623889514088</v>
      </c>
      <c r="AD534">
        <f t="shared" si="236"/>
        <v>0</v>
      </c>
      <c r="AE534">
        <f t="shared" si="213"/>
        <v>0</v>
      </c>
    </row>
    <row r="535" spans="1:31" x14ac:dyDescent="0.2">
      <c r="A535" s="347">
        <v>78529</v>
      </c>
      <c r="B535" s="364">
        <f t="shared" si="233"/>
        <v>78.528999999999996</v>
      </c>
      <c r="C535" s="337">
        <f t="shared" si="214"/>
        <v>1.787263848613472</v>
      </c>
      <c r="D535" s="338">
        <f t="shared" si="215"/>
        <v>0.9769964409132782</v>
      </c>
      <c r="E535" s="338">
        <f t="shared" si="216"/>
        <v>1.000010755813072</v>
      </c>
      <c r="F535" s="339">
        <f t="shared" si="217"/>
        <v>4.6380419719197243E-3</v>
      </c>
      <c r="G535" s="338">
        <f t="shared" si="218"/>
        <v>1</v>
      </c>
      <c r="H535" s="339">
        <f t="shared" si="219"/>
        <v>0</v>
      </c>
      <c r="I535" s="337">
        <f t="shared" si="220"/>
        <v>852629.38495657407</v>
      </c>
      <c r="J535" s="340">
        <f t="shared" si="221"/>
        <v>1.5707951539523726</v>
      </c>
      <c r="K535" s="348">
        <f t="shared" ref="K535:K598" si="237">SQRT(1+(A535/Zero2)^2)</f>
        <v>13.040797576939765</v>
      </c>
      <c r="L535" s="349">
        <f t="shared" ref="L535:L598" si="238">ATAN(A535/Zero2)</f>
        <v>1.4940385496054265</v>
      </c>
      <c r="M535" s="337">
        <f t="shared" si="222"/>
        <v>1.0028311372393763</v>
      </c>
      <c r="N535" s="340">
        <f t="shared" si="223"/>
        <v>7.5159482278938525E-2</v>
      </c>
      <c r="O535" s="341">
        <f t="shared" si="224"/>
        <v>1.0014508313768526</v>
      </c>
      <c r="P535" s="342">
        <f t="shared" si="225"/>
        <v>0.11867907048081404</v>
      </c>
      <c r="Q535" s="343">
        <f t="shared" si="226"/>
        <v>-3.9667779301322783</v>
      </c>
      <c r="R535" s="344">
        <f t="shared" si="227"/>
        <v>-71.215992973707202</v>
      </c>
      <c r="S535" s="346">
        <f t="shared" si="228"/>
        <v>108.7840070262928</v>
      </c>
      <c r="U535" s="319">
        <f t="shared" si="234"/>
        <v>78529</v>
      </c>
      <c r="V535" s="319">
        <f t="shared" si="235"/>
        <v>6166803841</v>
      </c>
      <c r="X535" s="345">
        <f t="shared" si="229"/>
        <v>1.3735453527295278</v>
      </c>
      <c r="Y535" s="346">
        <f t="shared" si="230"/>
        <v>-8.7041506137529421</v>
      </c>
      <c r="AA535" s="345">
        <f t="shared" si="231"/>
        <v>27.883305586070573</v>
      </c>
      <c r="AB535" s="346">
        <f t="shared" si="232"/>
        <v>-62.511842359954279</v>
      </c>
      <c r="AD535">
        <f t="shared" si="236"/>
        <v>0</v>
      </c>
      <c r="AE535">
        <f t="shared" si="213"/>
        <v>0</v>
      </c>
    </row>
    <row r="536" spans="1:31" x14ac:dyDescent="0.2">
      <c r="A536" s="347">
        <v>78981</v>
      </c>
      <c r="B536" s="364">
        <f t="shared" si="233"/>
        <v>78.980999999999995</v>
      </c>
      <c r="C536" s="337">
        <f t="shared" si="214"/>
        <v>1.7943369136137457</v>
      </c>
      <c r="D536" s="338">
        <f t="shared" si="215"/>
        <v>0.97965511689533447</v>
      </c>
      <c r="E536" s="338">
        <f t="shared" si="216"/>
        <v>1.0000108799861125</v>
      </c>
      <c r="F536" s="339">
        <f t="shared" si="217"/>
        <v>4.6647373920456611E-3</v>
      </c>
      <c r="G536" s="338">
        <f t="shared" si="218"/>
        <v>1</v>
      </c>
      <c r="H536" s="339">
        <f t="shared" si="219"/>
        <v>0</v>
      </c>
      <c r="I536" s="337">
        <f t="shared" si="220"/>
        <v>857536.97937392106</v>
      </c>
      <c r="J536" s="340">
        <f t="shared" si="221"/>
        <v>1.5707951606644275</v>
      </c>
      <c r="K536" s="348">
        <f t="shared" si="237"/>
        <v>13.115418145739348</v>
      </c>
      <c r="L536" s="349">
        <f t="shared" si="238"/>
        <v>1.4944761176552324</v>
      </c>
      <c r="M536" s="337">
        <f t="shared" si="222"/>
        <v>1.0028637754857195</v>
      </c>
      <c r="N536" s="340">
        <f t="shared" si="223"/>
        <v>7.5590446538581879E-2</v>
      </c>
      <c r="O536" s="341">
        <f t="shared" si="224"/>
        <v>1.0014677510809913</v>
      </c>
      <c r="P536" s="342">
        <f t="shared" si="225"/>
        <v>0.11936339476783839</v>
      </c>
      <c r="Q536" s="343">
        <f t="shared" si="226"/>
        <v>-4.0018041715153752</v>
      </c>
      <c r="R536" s="344">
        <f t="shared" si="227"/>
        <v>-71.405625260615082</v>
      </c>
      <c r="S536" s="346">
        <f t="shared" si="228"/>
        <v>108.59437473938492</v>
      </c>
      <c r="U536" s="319">
        <f t="shared" si="234"/>
        <v>78981</v>
      </c>
      <c r="V536" s="319">
        <f t="shared" si="235"/>
        <v>6237998361</v>
      </c>
      <c r="X536" s="345">
        <f t="shared" si="229"/>
        <v>1.372971196788155</v>
      </c>
      <c r="Y536" s="346">
        <f t="shared" si="230"/>
        <v>-8.7037726290198272</v>
      </c>
      <c r="AA536" s="345">
        <f t="shared" si="231"/>
        <v>27.848853500628849</v>
      </c>
      <c r="AB536" s="346">
        <f t="shared" si="232"/>
        <v>-62.701852631595273</v>
      </c>
      <c r="AD536">
        <f t="shared" si="236"/>
        <v>0</v>
      </c>
      <c r="AE536">
        <f t="shared" si="213"/>
        <v>0</v>
      </c>
    </row>
    <row r="537" spans="1:31" x14ac:dyDescent="0.2">
      <c r="A537" s="347">
        <v>79433</v>
      </c>
      <c r="B537" s="364">
        <f t="shared" si="233"/>
        <v>79.433000000000007</v>
      </c>
      <c r="C537" s="337">
        <f t="shared" si="214"/>
        <v>1.8014225623370324</v>
      </c>
      <c r="D537" s="338">
        <f t="shared" si="215"/>
        <v>0.98229289632565819</v>
      </c>
      <c r="E537" s="338">
        <f t="shared" si="216"/>
        <v>1.0000110048718061</v>
      </c>
      <c r="F537" s="339">
        <f t="shared" si="217"/>
        <v>4.6914328055229449E-3</v>
      </c>
      <c r="G537" s="338">
        <f t="shared" si="218"/>
        <v>1</v>
      </c>
      <c r="H537" s="339">
        <f t="shared" si="219"/>
        <v>0</v>
      </c>
      <c r="I537" s="337">
        <f t="shared" si="220"/>
        <v>862444.57379126817</v>
      </c>
      <c r="J537" s="340">
        <f t="shared" si="221"/>
        <v>1.5707951673000951</v>
      </c>
      <c r="K537" s="348">
        <f t="shared" si="237"/>
        <v>13.190041197279742</v>
      </c>
      <c r="L537" s="349">
        <f t="shared" si="238"/>
        <v>1.4949087346785013</v>
      </c>
      <c r="M537" s="337">
        <f t="shared" si="222"/>
        <v>1.0028965999820016</v>
      </c>
      <c r="N537" s="340">
        <f t="shared" si="223"/>
        <v>7.602138266760422E-2</v>
      </c>
      <c r="O537" s="341">
        <f t="shared" si="224"/>
        <v>1.0014847718041082</v>
      </c>
      <c r="P537" s="342">
        <f t="shared" si="225"/>
        <v>0.12004773993104234</v>
      </c>
      <c r="Q537" s="343">
        <f t="shared" si="226"/>
        <v>-4.0367536505699606</v>
      </c>
      <c r="R537" s="344">
        <f t="shared" si="227"/>
        <v>-71.594343516581489</v>
      </c>
      <c r="S537" s="346">
        <f t="shared" si="228"/>
        <v>108.40565648341851</v>
      </c>
      <c r="U537" s="319">
        <f t="shared" si="234"/>
        <v>79433</v>
      </c>
      <c r="V537" s="319">
        <f t="shared" si="235"/>
        <v>6309601489</v>
      </c>
      <c r="X537" s="345">
        <f t="shared" si="229"/>
        <v>1.3724003793954755</v>
      </c>
      <c r="Y537" s="346">
        <f t="shared" si="230"/>
        <v>-8.7036767010693215</v>
      </c>
      <c r="AA537" s="345">
        <f t="shared" si="231"/>
        <v>27.814474838966945</v>
      </c>
      <c r="AB537" s="346">
        <f t="shared" si="232"/>
        <v>-62.890666815512169</v>
      </c>
      <c r="AD537">
        <f t="shared" si="236"/>
        <v>0</v>
      </c>
      <c r="AE537">
        <f t="shared" si="213"/>
        <v>0</v>
      </c>
    </row>
    <row r="538" spans="1:31" x14ac:dyDescent="0.2">
      <c r="A538" s="347">
        <v>79895.5</v>
      </c>
      <c r="B538" s="364">
        <f t="shared" si="233"/>
        <v>79.895499999999998</v>
      </c>
      <c r="C538" s="337">
        <f t="shared" si="214"/>
        <v>1.8086856826340476</v>
      </c>
      <c r="D538" s="338">
        <f t="shared" si="215"/>
        <v>0.98497053939995283</v>
      </c>
      <c r="E538" s="338">
        <f t="shared" si="216"/>
        <v>1.0000111333962829</v>
      </c>
      <c r="F538" s="339">
        <f t="shared" si="217"/>
        <v>4.7187483488959235E-3</v>
      </c>
      <c r="G538" s="338">
        <f t="shared" si="218"/>
        <v>1</v>
      </c>
      <c r="H538" s="339">
        <f t="shared" si="219"/>
        <v>0</v>
      </c>
      <c r="I538" s="337">
        <f t="shared" si="220"/>
        <v>867466.17206123064</v>
      </c>
      <c r="J538" s="340">
        <f t="shared" si="221"/>
        <v>1.5707951740121919</v>
      </c>
      <c r="K538" s="348">
        <f t="shared" si="237"/>
        <v>13.266400275130374</v>
      </c>
      <c r="L538" s="349">
        <f t="shared" si="238"/>
        <v>1.495346363535984</v>
      </c>
      <c r="M538" s="337">
        <f t="shared" si="222"/>
        <v>1.0029303797652576</v>
      </c>
      <c r="N538" s="340">
        <f t="shared" si="223"/>
        <v>7.6462300198545094E-2</v>
      </c>
      <c r="O538" s="341">
        <f t="shared" si="224"/>
        <v>1.0015022925562267</v>
      </c>
      <c r="P538" s="342">
        <f t="shared" si="225"/>
        <v>0.12074800421930888</v>
      </c>
      <c r="Q538" s="343">
        <f t="shared" si="226"/>
        <v>-4.0724352858963169</v>
      </c>
      <c r="R538" s="344">
        <f t="shared" si="227"/>
        <v>-71.786507098595763</v>
      </c>
      <c r="S538" s="346">
        <f t="shared" si="228"/>
        <v>108.21349290140424</v>
      </c>
      <c r="U538" s="319">
        <f t="shared" si="234"/>
        <v>79895.5</v>
      </c>
      <c r="V538" s="319">
        <f t="shared" si="235"/>
        <v>6383290920.25</v>
      </c>
      <c r="X538" s="345">
        <f t="shared" si="229"/>
        <v>1.3718196421950313</v>
      </c>
      <c r="Y538" s="346">
        <f t="shared" si="230"/>
        <v>-8.7038655127537119</v>
      </c>
      <c r="AA538" s="345">
        <f t="shared" si="231"/>
        <v>27.779373940841033</v>
      </c>
      <c r="AB538" s="346">
        <f t="shared" si="232"/>
        <v>-63.082641585842083</v>
      </c>
      <c r="AD538">
        <f t="shared" si="236"/>
        <v>0</v>
      </c>
      <c r="AE538">
        <f t="shared" ref="AE538:AE601" si="239">IF(AD538&gt;0,S538,0)</f>
        <v>0</v>
      </c>
    </row>
    <row r="539" spans="1:31" x14ac:dyDescent="0.2">
      <c r="A539" s="347">
        <v>80358</v>
      </c>
      <c r="B539" s="364">
        <f t="shared" si="233"/>
        <v>80.358000000000004</v>
      </c>
      <c r="C539" s="337">
        <f t="shared" si="214"/>
        <v>1.8159616670092817</v>
      </c>
      <c r="D539" s="338">
        <f t="shared" si="215"/>
        <v>0.98762674445296861</v>
      </c>
      <c r="E539" s="338">
        <f t="shared" si="216"/>
        <v>1.0000112626669067</v>
      </c>
      <c r="F539" s="339">
        <f t="shared" si="217"/>
        <v>4.7460638852271676E-3</v>
      </c>
      <c r="G539" s="338">
        <f t="shared" si="218"/>
        <v>1</v>
      </c>
      <c r="H539" s="339">
        <f t="shared" si="219"/>
        <v>0</v>
      </c>
      <c r="I539" s="337">
        <f t="shared" si="220"/>
        <v>872487.77033119311</v>
      </c>
      <c r="J539" s="340">
        <f t="shared" si="221"/>
        <v>1.5707951806470262</v>
      </c>
      <c r="K539" s="348">
        <f t="shared" si="237"/>
        <v>13.342761864667628</v>
      </c>
      <c r="L539" s="349">
        <f t="shared" si="238"/>
        <v>1.4957789833124344</v>
      </c>
      <c r="M539" s="337">
        <f t="shared" si="222"/>
        <v>1.0029643545133167</v>
      </c>
      <c r="N539" s="340">
        <f t="shared" si="223"/>
        <v>7.6903187943619222E-2</v>
      </c>
      <c r="O539" s="341">
        <f t="shared" si="224"/>
        <v>1.0015199192174324</v>
      </c>
      <c r="P539" s="342">
        <f t="shared" si="225"/>
        <v>0.12144829060262707</v>
      </c>
      <c r="Q539" s="343">
        <f t="shared" si="226"/>
        <v>-4.1080360286656328</v>
      </c>
      <c r="R539" s="344">
        <f t="shared" si="227"/>
        <v>-71.977728926996406</v>
      </c>
      <c r="S539" s="346">
        <f t="shared" si="228"/>
        <v>108.02227107300359</v>
      </c>
      <c r="U539" s="319">
        <f t="shared" si="234"/>
        <v>80358</v>
      </c>
      <c r="V539" s="319">
        <f t="shared" si="235"/>
        <v>6457408164</v>
      </c>
      <c r="X539" s="345">
        <f t="shared" si="229"/>
        <v>1.3712421693350239</v>
      </c>
      <c r="Y539" s="346">
        <f t="shared" si="230"/>
        <v>-8.7043396126095409</v>
      </c>
      <c r="AA539" s="345">
        <f t="shared" si="231"/>
        <v>27.744350670931723</v>
      </c>
      <c r="AB539" s="346">
        <f t="shared" si="232"/>
        <v>-63.273389314386854</v>
      </c>
      <c r="AD539">
        <f t="shared" si="236"/>
        <v>0</v>
      </c>
      <c r="AE539">
        <f t="shared" si="239"/>
        <v>0</v>
      </c>
    </row>
    <row r="540" spans="1:31" x14ac:dyDescent="0.2">
      <c r="A540" s="347">
        <v>80820.5</v>
      </c>
      <c r="B540" s="364">
        <f t="shared" si="233"/>
        <v>80.820499999999996</v>
      </c>
      <c r="C540" s="337">
        <f t="shared" si="214"/>
        <v>1.8232503614539981</v>
      </c>
      <c r="D540" s="338">
        <f t="shared" si="215"/>
        <v>0.99026173088226066</v>
      </c>
      <c r="E540" s="338">
        <f t="shared" si="216"/>
        <v>1.0000113926836773</v>
      </c>
      <c r="F540" s="339">
        <f t="shared" si="217"/>
        <v>4.7733794144759183E-3</v>
      </c>
      <c r="G540" s="338">
        <f t="shared" si="218"/>
        <v>1</v>
      </c>
      <c r="H540" s="339">
        <f t="shared" si="219"/>
        <v>0</v>
      </c>
      <c r="I540" s="337">
        <f t="shared" si="220"/>
        <v>877509.36860115558</v>
      </c>
      <c r="J540" s="340">
        <f t="shared" si="221"/>
        <v>1.5707951872059238</v>
      </c>
      <c r="K540" s="348">
        <f t="shared" si="237"/>
        <v>13.419125923013205</v>
      </c>
      <c r="L540" s="349">
        <f t="shared" si="238"/>
        <v>1.4962066793598672</v>
      </c>
      <c r="M540" s="337">
        <f t="shared" si="222"/>
        <v>1.002998524206367</v>
      </c>
      <c r="N540" s="340">
        <f t="shared" si="223"/>
        <v>7.7344045734460923E-2</v>
      </c>
      <c r="O540" s="341">
        <f t="shared" si="224"/>
        <v>1.0015376518602732</v>
      </c>
      <c r="P540" s="342">
        <f t="shared" si="225"/>
        <v>0.12214859920100793</v>
      </c>
      <c r="Q540" s="343">
        <f t="shared" si="226"/>
        <v>-4.143555639280101</v>
      </c>
      <c r="R540" s="344">
        <f t="shared" si="227"/>
        <v>-72.168016679334855</v>
      </c>
      <c r="S540" s="346">
        <f t="shared" si="228"/>
        <v>107.83198332066515</v>
      </c>
      <c r="U540" s="319">
        <f t="shared" si="234"/>
        <v>80820.5</v>
      </c>
      <c r="V540" s="319">
        <f t="shared" si="235"/>
        <v>6531953220.25</v>
      </c>
      <c r="X540" s="345">
        <f t="shared" si="229"/>
        <v>1.3706678488623123</v>
      </c>
      <c r="Y540" s="346">
        <f t="shared" si="230"/>
        <v>-8.7050941007559217</v>
      </c>
      <c r="AA540" s="345">
        <f t="shared" si="231"/>
        <v>27.709405380789967</v>
      </c>
      <c r="AB540" s="346">
        <f t="shared" si="232"/>
        <v>-63.46292257857894</v>
      </c>
      <c r="AD540">
        <f t="shared" si="236"/>
        <v>0</v>
      </c>
      <c r="AE540">
        <f t="shared" si="239"/>
        <v>0</v>
      </c>
    </row>
    <row r="541" spans="1:31" x14ac:dyDescent="0.2">
      <c r="A541" s="347">
        <v>81283</v>
      </c>
      <c r="B541" s="364">
        <f t="shared" si="233"/>
        <v>81.283000000000001</v>
      </c>
      <c r="C541" s="337">
        <f t="shared" si="214"/>
        <v>1.8305516141454212</v>
      </c>
      <c r="D541" s="338">
        <f t="shared" si="215"/>
        <v>0.99287571577282252</v>
      </c>
      <c r="E541" s="338">
        <f t="shared" si="216"/>
        <v>1.0000115234465943</v>
      </c>
      <c r="F541" s="339">
        <f t="shared" si="217"/>
        <v>4.8006949366014157E-3</v>
      </c>
      <c r="G541" s="338">
        <f t="shared" si="218"/>
        <v>1</v>
      </c>
      <c r="H541" s="339">
        <f t="shared" si="219"/>
        <v>0</v>
      </c>
      <c r="I541" s="337">
        <f t="shared" si="220"/>
        <v>882530.96687111829</v>
      </c>
      <c r="J541" s="340">
        <f t="shared" si="221"/>
        <v>1.5707951936901812</v>
      </c>
      <c r="K541" s="348">
        <f t="shared" si="237"/>
        <v>13.495492408257958</v>
      </c>
      <c r="L541" s="349">
        <f t="shared" si="238"/>
        <v>1.4966295351056826</v>
      </c>
      <c r="M541" s="337">
        <f t="shared" si="222"/>
        <v>1.0030328888244853</v>
      </c>
      <c r="N541" s="340">
        <f t="shared" si="223"/>
        <v>7.778487340277393E-2</v>
      </c>
      <c r="O541" s="341">
        <f t="shared" si="224"/>
        <v>1.001555490557708</v>
      </c>
      <c r="P541" s="342">
        <f t="shared" si="225"/>
        <v>0.122848930134326</v>
      </c>
      <c r="Q541" s="343">
        <f t="shared" si="226"/>
        <v>-4.1789938941413602</v>
      </c>
      <c r="R541" s="344">
        <f t="shared" si="227"/>
        <v>-72.357378010929409</v>
      </c>
      <c r="S541" s="346">
        <f t="shared" si="228"/>
        <v>107.64262198907059</v>
      </c>
      <c r="U541" s="319">
        <f t="shared" si="234"/>
        <v>81283</v>
      </c>
      <c r="V541" s="319">
        <f t="shared" si="235"/>
        <v>6606926089</v>
      </c>
      <c r="X541" s="345">
        <f t="shared" si="229"/>
        <v>1.3700965719937395</v>
      </c>
      <c r="Y541" s="346">
        <f t="shared" si="230"/>
        <v>-8.7061241875865232</v>
      </c>
      <c r="AA541" s="345">
        <f t="shared" si="231"/>
        <v>27.674538402797278</v>
      </c>
      <c r="AB541" s="346">
        <f t="shared" si="232"/>
        <v>-63.651253823342898</v>
      </c>
      <c r="AD541">
        <f t="shared" si="236"/>
        <v>0</v>
      </c>
      <c r="AE541">
        <f t="shared" si="239"/>
        <v>0</v>
      </c>
    </row>
    <row r="542" spans="1:31" x14ac:dyDescent="0.2">
      <c r="A542" s="347">
        <v>81756.25</v>
      </c>
      <c r="B542" s="364">
        <f t="shared" si="233"/>
        <v>81.756249999999994</v>
      </c>
      <c r="C542" s="337">
        <f t="shared" si="214"/>
        <v>1.838035414993878</v>
      </c>
      <c r="D542" s="338">
        <f t="shared" si="215"/>
        <v>0.99552894276412951</v>
      </c>
      <c r="E542" s="338">
        <f t="shared" si="216"/>
        <v>1.0000116580212275</v>
      </c>
      <c r="F542" s="339">
        <f t="shared" si="217"/>
        <v>4.8286453526359451E-3</v>
      </c>
      <c r="G542" s="338">
        <f t="shared" si="218"/>
        <v>1</v>
      </c>
      <c r="H542" s="339">
        <f t="shared" si="219"/>
        <v>0</v>
      </c>
      <c r="I542" s="337">
        <f t="shared" si="220"/>
        <v>887669.28337113932</v>
      </c>
      <c r="J542" s="340">
        <f t="shared" si="221"/>
        <v>1.5707952002492127</v>
      </c>
      <c r="K542" s="348">
        <f t="shared" si="237"/>
        <v>13.57363636773357</v>
      </c>
      <c r="L542" s="349">
        <f t="shared" si="238"/>
        <v>1.4970572940900109</v>
      </c>
      <c r="M542" s="337">
        <f t="shared" si="222"/>
        <v>1.0030682539406401</v>
      </c>
      <c r="N542" s="340">
        <f t="shared" si="223"/>
        <v>7.8235915979440657E-2</v>
      </c>
      <c r="O542" s="341">
        <f t="shared" si="224"/>
        <v>1.0015738537416887</v>
      </c>
      <c r="P542" s="342">
        <f t="shared" si="225"/>
        <v>0.12356556227445666</v>
      </c>
      <c r="Q542" s="343">
        <f t="shared" si="226"/>
        <v>-4.2151714179034272</v>
      </c>
      <c r="R542" s="344">
        <f t="shared" si="227"/>
        <v>-72.550189703438036</v>
      </c>
      <c r="S542" s="346">
        <f t="shared" si="228"/>
        <v>107.44981029656196</v>
      </c>
      <c r="U542" s="319">
        <f t="shared" si="234"/>
        <v>81756.25</v>
      </c>
      <c r="V542" s="319">
        <f t="shared" si="235"/>
        <v>6684084414.0625</v>
      </c>
      <c r="X542" s="345">
        <f t="shared" si="229"/>
        <v>1.3695150570750803</v>
      </c>
      <c r="Y542" s="346">
        <f t="shared" si="230"/>
        <v>-8.7074586149657662</v>
      </c>
      <c r="AA542" s="345">
        <f t="shared" si="231"/>
        <v>27.638942393953872</v>
      </c>
      <c r="AB542" s="346">
        <f t="shared" si="232"/>
        <v>-63.84273108847227</v>
      </c>
      <c r="AD542">
        <f t="shared" si="236"/>
        <v>0</v>
      </c>
      <c r="AE542">
        <f t="shared" si="239"/>
        <v>0</v>
      </c>
    </row>
    <row r="543" spans="1:31" x14ac:dyDescent="0.2">
      <c r="A543" s="347">
        <v>82229.5</v>
      </c>
      <c r="B543" s="364">
        <f t="shared" si="233"/>
        <v>82.229500000000002</v>
      </c>
      <c r="C543" s="337">
        <f t="shared" si="214"/>
        <v>1.8455320499101837</v>
      </c>
      <c r="D543" s="338">
        <f t="shared" si="215"/>
        <v>0.99816063309957137</v>
      </c>
      <c r="E543" s="338">
        <f t="shared" si="216"/>
        <v>1.0000117933770953</v>
      </c>
      <c r="F543" s="339">
        <f t="shared" si="217"/>
        <v>4.8565957611258932E-3</v>
      </c>
      <c r="G543" s="338">
        <f t="shared" si="218"/>
        <v>1</v>
      </c>
      <c r="H543" s="339">
        <f t="shared" si="219"/>
        <v>0</v>
      </c>
      <c r="I543" s="337">
        <f t="shared" si="220"/>
        <v>892807.5998711607</v>
      </c>
      <c r="J543" s="340">
        <f t="shared" si="221"/>
        <v>1.5707952067327464</v>
      </c>
      <c r="K543" s="348">
        <f t="shared" si="237"/>
        <v>13.65178278244883</v>
      </c>
      <c r="L543" s="349">
        <f t="shared" si="238"/>
        <v>1.4974801559398918</v>
      </c>
      <c r="M543" s="337">
        <f t="shared" si="222"/>
        <v>1.0031038231059914</v>
      </c>
      <c r="N543" s="340">
        <f t="shared" si="223"/>
        <v>7.8686926660721745E-2</v>
      </c>
      <c r="O543" s="341">
        <f t="shared" si="224"/>
        <v>1.0015923281235435</v>
      </c>
      <c r="P543" s="342">
        <f t="shared" si="225"/>
        <v>0.12428221805336387</v>
      </c>
      <c r="Q543" s="343">
        <f t="shared" si="226"/>
        <v>-4.2512633359010232</v>
      </c>
      <c r="R543" s="344">
        <f t="shared" si="227"/>
        <v>-72.742047544632939</v>
      </c>
      <c r="S543" s="346">
        <f t="shared" si="228"/>
        <v>107.25795245536706</v>
      </c>
      <c r="U543" s="319">
        <f t="shared" si="234"/>
        <v>82229.5</v>
      </c>
      <c r="V543" s="319">
        <f t="shared" si="235"/>
        <v>6761690670.25</v>
      </c>
      <c r="X543" s="345">
        <f t="shared" si="229"/>
        <v>1.368936508155794</v>
      </c>
      <c r="Y543" s="346">
        <f t="shared" si="230"/>
        <v>-8.7090717956841868</v>
      </c>
      <c r="AA543" s="345">
        <f t="shared" si="231"/>
        <v>27.603429024875563</v>
      </c>
      <c r="AB543" s="346">
        <f t="shared" si="232"/>
        <v>-64.032975748948743</v>
      </c>
      <c r="AD543">
        <f t="shared" si="236"/>
        <v>0</v>
      </c>
      <c r="AE543">
        <f t="shared" si="239"/>
        <v>0</v>
      </c>
    </row>
    <row r="544" spans="1:31" x14ac:dyDescent="0.2">
      <c r="A544" s="347">
        <v>82702.75</v>
      </c>
      <c r="B544" s="364">
        <f t="shared" si="233"/>
        <v>82.702749999999995</v>
      </c>
      <c r="C544" s="337">
        <f t="shared" si="214"/>
        <v>1.8530413631304365</v>
      </c>
      <c r="D544" s="338">
        <f t="shared" si="215"/>
        <v>1.0007710119308366</v>
      </c>
      <c r="E544" s="338">
        <f t="shared" si="216"/>
        <v>1.0000119295141976</v>
      </c>
      <c r="F544" s="339">
        <f t="shared" si="217"/>
        <v>4.8845461620275936E-3</v>
      </c>
      <c r="G544" s="338">
        <f t="shared" si="218"/>
        <v>1</v>
      </c>
      <c r="H544" s="339">
        <f t="shared" si="219"/>
        <v>0</v>
      </c>
      <c r="I544" s="337">
        <f t="shared" si="220"/>
        <v>897945.91637118184</v>
      </c>
      <c r="J544" s="340">
        <f t="shared" si="221"/>
        <v>1.5707952131420788</v>
      </c>
      <c r="K544" s="348">
        <f t="shared" si="237"/>
        <v>13.729931610480401</v>
      </c>
      <c r="L544" s="349">
        <f t="shared" si="238"/>
        <v>1.4978982041241824</v>
      </c>
      <c r="M544" s="337">
        <f t="shared" si="222"/>
        <v>1.0031395962988343</v>
      </c>
      <c r="N544" s="340">
        <f t="shared" si="223"/>
        <v>7.9137905266539105E-2</v>
      </c>
      <c r="O544" s="341">
        <f t="shared" si="224"/>
        <v>1.001610913782778</v>
      </c>
      <c r="P544" s="342">
        <f t="shared" si="225"/>
        <v>0.12499889759902803</v>
      </c>
      <c r="Q544" s="343">
        <f t="shared" si="226"/>
        <v>-4.287269457958959</v>
      </c>
      <c r="R544" s="344">
        <f t="shared" si="227"/>
        <v>-72.932959649434224</v>
      </c>
      <c r="S544" s="346">
        <f t="shared" si="228"/>
        <v>107.06704035056578</v>
      </c>
      <c r="U544" s="319">
        <f t="shared" si="234"/>
        <v>82702.75</v>
      </c>
      <c r="V544" s="319">
        <f t="shared" si="235"/>
        <v>6839744857.5625</v>
      </c>
      <c r="X544" s="345">
        <f t="shared" si="229"/>
        <v>1.3683608183153169</v>
      </c>
      <c r="Y544" s="346">
        <f t="shared" si="230"/>
        <v>-8.7109589370851079</v>
      </c>
      <c r="AA544" s="345">
        <f t="shared" si="231"/>
        <v>27.5679985926581</v>
      </c>
      <c r="AB544" s="346">
        <f t="shared" si="232"/>
        <v>-64.222000712349086</v>
      </c>
      <c r="AD544">
        <f t="shared" si="236"/>
        <v>0</v>
      </c>
      <c r="AE544">
        <f t="shared" si="239"/>
        <v>0</v>
      </c>
    </row>
    <row r="545" spans="1:31" x14ac:dyDescent="0.2">
      <c r="A545" s="347">
        <v>83176</v>
      </c>
      <c r="B545" s="364">
        <f t="shared" si="233"/>
        <v>83.176000000000002</v>
      </c>
      <c r="C545" s="337">
        <f t="shared" si="214"/>
        <v>1.8605632011441011</v>
      </c>
      <c r="D545" s="338">
        <f t="shared" si="215"/>
        <v>1.0033603019396362</v>
      </c>
      <c r="E545" s="338">
        <f t="shared" si="216"/>
        <v>1.000012066432534</v>
      </c>
      <c r="F545" s="339">
        <f t="shared" si="217"/>
        <v>4.9124965552973764E-3</v>
      </c>
      <c r="G545" s="338">
        <f t="shared" si="218"/>
        <v>1</v>
      </c>
      <c r="H545" s="339">
        <f t="shared" si="219"/>
        <v>0</v>
      </c>
      <c r="I545" s="337">
        <f t="shared" si="220"/>
        <v>903084.23287120322</v>
      </c>
      <c r="J545" s="340">
        <f t="shared" si="221"/>
        <v>1.5707952194784762</v>
      </c>
      <c r="K545" s="348">
        <f t="shared" si="237"/>
        <v>13.808082810852753</v>
      </c>
      <c r="L545" s="349">
        <f t="shared" si="238"/>
        <v>1.498311520228885</v>
      </c>
      <c r="M545" s="337">
        <f t="shared" si="222"/>
        <v>1.0031755734973415</v>
      </c>
      <c r="N545" s="340">
        <f t="shared" si="223"/>
        <v>7.95888516168924E-2</v>
      </c>
      <c r="O545" s="341">
        <f t="shared" si="224"/>
        <v>1.0016296107993503</v>
      </c>
      <c r="P545" s="342">
        <f t="shared" si="225"/>
        <v>0.12571560103927656</v>
      </c>
      <c r="Q545" s="343">
        <f t="shared" si="226"/>
        <v>-4.323189609685544</v>
      </c>
      <c r="R545" s="344">
        <f t="shared" si="227"/>
        <v>-73.122934099116193</v>
      </c>
      <c r="S545" s="346">
        <f t="shared" si="228"/>
        <v>106.87706590088381</v>
      </c>
      <c r="U545" s="319">
        <f t="shared" si="234"/>
        <v>83176</v>
      </c>
      <c r="V545" s="319">
        <f t="shared" si="235"/>
        <v>6918246976</v>
      </c>
      <c r="X545" s="345">
        <f t="shared" si="229"/>
        <v>1.3677878836627988</v>
      </c>
      <c r="Y545" s="346">
        <f t="shared" si="230"/>
        <v>-8.7131153543942208</v>
      </c>
      <c r="AA545" s="345">
        <f t="shared" si="231"/>
        <v>27.532651375584038</v>
      </c>
      <c r="AB545" s="346">
        <f t="shared" si="232"/>
        <v>-64.40981874472196</v>
      </c>
      <c r="AD545">
        <f t="shared" si="236"/>
        <v>0</v>
      </c>
      <c r="AE545">
        <f t="shared" si="239"/>
        <v>0</v>
      </c>
    </row>
    <row r="546" spans="1:31" x14ac:dyDescent="0.2">
      <c r="A546" s="347">
        <v>83660.5</v>
      </c>
      <c r="B546" s="364">
        <f t="shared" si="233"/>
        <v>83.660499999999999</v>
      </c>
      <c r="C546" s="337">
        <f t="shared" si="214"/>
        <v>1.8682766636970534</v>
      </c>
      <c r="D546" s="338">
        <f t="shared" si="215"/>
        <v>1.0059895271863439</v>
      </c>
      <c r="E546" s="338">
        <f t="shared" si="216"/>
        <v>1.0000122074149758</v>
      </c>
      <c r="F546" s="339">
        <f t="shared" si="217"/>
        <v>4.9411113715171701E-3</v>
      </c>
      <c r="G546" s="338">
        <f t="shared" si="218"/>
        <v>1</v>
      </c>
      <c r="H546" s="339">
        <f t="shared" si="219"/>
        <v>0</v>
      </c>
      <c r="I546" s="337">
        <f t="shared" si="220"/>
        <v>908344.69635616953</v>
      </c>
      <c r="J546" s="340">
        <f t="shared" si="221"/>
        <v>1.5707952258912374</v>
      </c>
      <c r="K546" s="348">
        <f t="shared" si="237"/>
        <v>13.888094220997939</v>
      </c>
      <c r="L546" s="349">
        <f t="shared" si="238"/>
        <v>1.4987298427118076</v>
      </c>
      <c r="M546" s="337">
        <f t="shared" si="222"/>
        <v>1.0032126172530436</v>
      </c>
      <c r="N546" s="340">
        <f t="shared" si="223"/>
        <v>8.0050484166954039E-2</v>
      </c>
      <c r="O546" s="341">
        <f t="shared" si="224"/>
        <v>1.0016488677209969</v>
      </c>
      <c r="P546" s="342">
        <f t="shared" si="225"/>
        <v>0.12644936669044865</v>
      </c>
      <c r="Q546" s="343">
        <f t="shared" si="226"/>
        <v>-4.359874421660848</v>
      </c>
      <c r="R546" s="344">
        <f t="shared" si="227"/>
        <v>-73.316461627607481</v>
      </c>
      <c r="S546" s="346">
        <f t="shared" si="228"/>
        <v>106.68353837239252</v>
      </c>
      <c r="U546" s="319">
        <f t="shared" si="234"/>
        <v>83660.5</v>
      </c>
      <c r="V546" s="319">
        <f t="shared" si="235"/>
        <v>6999079260.25</v>
      </c>
      <c r="X546" s="345">
        <f t="shared" si="229"/>
        <v>1.3672040781349102</v>
      </c>
      <c r="Y546" s="346">
        <f t="shared" si="230"/>
        <v>-8.7155972058787086</v>
      </c>
      <c r="AA546" s="345">
        <f t="shared" si="231"/>
        <v>27.496550369136621</v>
      </c>
      <c r="AB546" s="346">
        <f t="shared" si="232"/>
        <v>-64.600864421728758</v>
      </c>
      <c r="AD546">
        <f t="shared" si="236"/>
        <v>0</v>
      </c>
      <c r="AE546">
        <f t="shared" si="239"/>
        <v>0</v>
      </c>
    </row>
    <row r="547" spans="1:31" x14ac:dyDescent="0.2">
      <c r="A547" s="347">
        <v>84145</v>
      </c>
      <c r="B547" s="364">
        <f t="shared" si="233"/>
        <v>84.144999999999996</v>
      </c>
      <c r="C547" s="337">
        <f t="shared" si="214"/>
        <v>1.8760029350641148</v>
      </c>
      <c r="D547" s="338">
        <f t="shared" si="215"/>
        <v>1.0085971135380074</v>
      </c>
      <c r="E547" s="338">
        <f t="shared" si="216"/>
        <v>1.0000123492162349</v>
      </c>
      <c r="F547" s="339">
        <f t="shared" si="217"/>
        <v>4.969726179645262E-3</v>
      </c>
      <c r="G547" s="338">
        <f t="shared" si="218"/>
        <v>1</v>
      </c>
      <c r="H547" s="339">
        <f t="shared" si="219"/>
        <v>0</v>
      </c>
      <c r="I547" s="337">
        <f t="shared" si="220"/>
        <v>913605.15984113596</v>
      </c>
      <c r="J547" s="340">
        <f t="shared" si="221"/>
        <v>1.5707952322301504</v>
      </c>
      <c r="K547" s="348">
        <f t="shared" si="237"/>
        <v>13.968108033629294</v>
      </c>
      <c r="L547" s="349">
        <f t="shared" si="238"/>
        <v>1.4991433726951162</v>
      </c>
      <c r="M547" s="337">
        <f t="shared" si="222"/>
        <v>1.0032498747821661</v>
      </c>
      <c r="N547" s="340">
        <f t="shared" si="223"/>
        <v>8.0512082528230916E-2</v>
      </c>
      <c r="O547" s="341">
        <f t="shared" si="224"/>
        <v>1.0016682415282847</v>
      </c>
      <c r="P547" s="342">
        <f t="shared" si="225"/>
        <v>0.12718315765638569</v>
      </c>
      <c r="Q547" s="343">
        <f t="shared" si="226"/>
        <v>-4.3964688063466122</v>
      </c>
      <c r="R547" s="344">
        <f t="shared" si="227"/>
        <v>-73.509023416528009</v>
      </c>
      <c r="S547" s="346">
        <f t="shared" si="228"/>
        <v>106.49097658347199</v>
      </c>
      <c r="U547" s="319">
        <f t="shared" si="234"/>
        <v>84145</v>
      </c>
      <c r="V547" s="319">
        <f t="shared" si="235"/>
        <v>7080381025</v>
      </c>
      <c r="X547" s="345">
        <f t="shared" si="229"/>
        <v>1.3666229492708928</v>
      </c>
      <c r="Y547" s="346">
        <f t="shared" si="230"/>
        <v>-8.7183516842604334</v>
      </c>
      <c r="AA547" s="345">
        <f t="shared" si="231"/>
        <v>27.460537113314874</v>
      </c>
      <c r="AB547" s="346">
        <f t="shared" si="232"/>
        <v>-64.790671732267583</v>
      </c>
      <c r="AD547">
        <f t="shared" si="236"/>
        <v>0</v>
      </c>
      <c r="AE547">
        <f t="shared" si="239"/>
        <v>0</v>
      </c>
    </row>
    <row r="548" spans="1:31" x14ac:dyDescent="0.2">
      <c r="A548" s="347">
        <v>84629.5</v>
      </c>
      <c r="B548" s="364">
        <f t="shared" si="233"/>
        <v>84.629499999999993</v>
      </c>
      <c r="C548" s="337">
        <f t="shared" si="214"/>
        <v>1.8837418576371141</v>
      </c>
      <c r="D548" s="338">
        <f t="shared" si="215"/>
        <v>1.0111832920100514</v>
      </c>
      <c r="E548" s="338">
        <f t="shared" si="216"/>
        <v>1.0000124918363114</v>
      </c>
      <c r="F548" s="339">
        <f t="shared" si="217"/>
        <v>4.9983409796347921E-3</v>
      </c>
      <c r="G548" s="338">
        <f t="shared" si="218"/>
        <v>1</v>
      </c>
      <c r="H548" s="339">
        <f t="shared" si="219"/>
        <v>0</v>
      </c>
      <c r="I548" s="337">
        <f t="shared" si="220"/>
        <v>918865.62332610239</v>
      </c>
      <c r="J548" s="340">
        <f t="shared" si="221"/>
        <v>1.5707952384964832</v>
      </c>
      <c r="K548" s="348">
        <f t="shared" si="237"/>
        <v>14.048124207695343</v>
      </c>
      <c r="L548" s="349">
        <f t="shared" si="238"/>
        <v>1.4995521919284016</v>
      </c>
      <c r="M548" s="337">
        <f t="shared" si="222"/>
        <v>1.0032873460608933</v>
      </c>
      <c r="N548" s="340">
        <f t="shared" si="223"/>
        <v>8.0973646507834576E-2</v>
      </c>
      <c r="O548" s="341">
        <f t="shared" si="224"/>
        <v>1.0016877323084796</v>
      </c>
      <c r="P548" s="342">
        <f t="shared" si="225"/>
        <v>0.1279169740737453</v>
      </c>
      <c r="Q548" s="343">
        <f t="shared" si="226"/>
        <v>-4.4329726252861752</v>
      </c>
      <c r="R548" s="344">
        <f t="shared" si="227"/>
        <v>-73.700628015033715</v>
      </c>
      <c r="S548" s="346">
        <f t="shared" si="228"/>
        <v>106.29937198496629</v>
      </c>
      <c r="U548" s="319">
        <f t="shared" si="234"/>
        <v>84629.5</v>
      </c>
      <c r="V548" s="319">
        <f t="shared" si="235"/>
        <v>7162152270.25</v>
      </c>
      <c r="X548" s="345">
        <f t="shared" si="229"/>
        <v>1.3660443948095873</v>
      </c>
      <c r="Y548" s="346">
        <f t="shared" si="230"/>
        <v>-8.7213740946538376</v>
      </c>
      <c r="AA548" s="345">
        <f t="shared" si="231"/>
        <v>27.424611848836619</v>
      </c>
      <c r="AB548" s="346">
        <f t="shared" si="232"/>
        <v>-64.97925392037989</v>
      </c>
      <c r="AD548">
        <f t="shared" si="236"/>
        <v>0</v>
      </c>
      <c r="AE548">
        <f t="shared" si="239"/>
        <v>0</v>
      </c>
    </row>
    <row r="549" spans="1:31" x14ac:dyDescent="0.2">
      <c r="A549" s="347">
        <v>85114</v>
      </c>
      <c r="B549" s="364">
        <f t="shared" si="233"/>
        <v>85.114000000000004</v>
      </c>
      <c r="C549" s="337">
        <f t="shared" si="214"/>
        <v>1.8914932761312817</v>
      </c>
      <c r="D549" s="338">
        <f t="shared" si="215"/>
        <v>1.0137482909858122</v>
      </c>
      <c r="E549" s="338">
        <f t="shared" si="216"/>
        <v>1.0000126352752043</v>
      </c>
      <c r="F549" s="339">
        <f t="shared" si="217"/>
        <v>5.0269557714389072E-3</v>
      </c>
      <c r="G549" s="338">
        <f t="shared" si="218"/>
        <v>1</v>
      </c>
      <c r="H549" s="339">
        <f t="shared" si="219"/>
        <v>0</v>
      </c>
      <c r="I549" s="337">
        <f t="shared" si="220"/>
        <v>924126.08681106893</v>
      </c>
      <c r="J549" s="340">
        <f t="shared" si="221"/>
        <v>1.5707952446914757</v>
      </c>
      <c r="K549" s="348">
        <f t="shared" si="237"/>
        <v>14.128142703073406</v>
      </c>
      <c r="L549" s="349">
        <f t="shared" si="238"/>
        <v>1.4999563803155938</v>
      </c>
      <c r="M549" s="337">
        <f t="shared" si="222"/>
        <v>1.0033250310652764</v>
      </c>
      <c r="N549" s="340">
        <f t="shared" si="223"/>
        <v>8.1435175912963842E-2</v>
      </c>
      <c r="O549" s="341">
        <f t="shared" si="224"/>
        <v>1.0017073401493426</v>
      </c>
      <c r="P549" s="342">
        <f t="shared" si="225"/>
        <v>0.12865081607901319</v>
      </c>
      <c r="Q549" s="343">
        <f t="shared" si="226"/>
        <v>-4.4693857555401371</v>
      </c>
      <c r="R549" s="344">
        <f t="shared" si="227"/>
        <v>-73.891283927214999</v>
      </c>
      <c r="S549" s="346">
        <f t="shared" si="228"/>
        <v>106.108716072785</v>
      </c>
      <c r="U549" s="319">
        <f t="shared" si="234"/>
        <v>85114</v>
      </c>
      <c r="V549" s="319">
        <f t="shared" si="235"/>
        <v>7244392996</v>
      </c>
      <c r="X549" s="345">
        <f t="shared" si="229"/>
        <v>1.3654683153913032</v>
      </c>
      <c r="Y549" s="346">
        <f t="shared" si="230"/>
        <v>-8.7246598479253024</v>
      </c>
      <c r="AA549" s="345">
        <f t="shared" si="231"/>
        <v>27.388774798000938</v>
      </c>
      <c r="AB549" s="346">
        <f t="shared" si="232"/>
        <v>-65.166624079289704</v>
      </c>
      <c r="AD549">
        <f t="shared" si="236"/>
        <v>0</v>
      </c>
      <c r="AE549">
        <f t="shared" si="239"/>
        <v>0</v>
      </c>
    </row>
    <row r="550" spans="1:31" x14ac:dyDescent="0.2">
      <c r="A550" s="347">
        <v>85609.5</v>
      </c>
      <c r="B550" s="364">
        <f t="shared" si="233"/>
        <v>85.609499999999997</v>
      </c>
      <c r="C550" s="337">
        <f t="shared" si="214"/>
        <v>1.8994334466899045</v>
      </c>
      <c r="D550" s="338">
        <f t="shared" si="215"/>
        <v>1.0163498542661413</v>
      </c>
      <c r="E550" s="338">
        <f t="shared" si="216"/>
        <v>1.0000127828176208</v>
      </c>
      <c r="F550" s="339">
        <f t="shared" si="217"/>
        <v>5.0562202197637031E-3</v>
      </c>
      <c r="G550" s="338">
        <f t="shared" si="218"/>
        <v>1</v>
      </c>
      <c r="H550" s="339">
        <f t="shared" si="219"/>
        <v>0</v>
      </c>
      <c r="I550" s="337">
        <f t="shared" si="220"/>
        <v>929505.98290353722</v>
      </c>
      <c r="J550" s="340">
        <f t="shared" si="221"/>
        <v>1.5707952509545917</v>
      </c>
      <c r="K550" s="348">
        <f t="shared" si="237"/>
        <v>14.20998028393347</v>
      </c>
      <c r="L550" s="349">
        <f t="shared" si="238"/>
        <v>1.5003650369673156</v>
      </c>
      <c r="M550" s="337">
        <f t="shared" si="222"/>
        <v>1.0033637926973795</v>
      </c>
      <c r="N550" s="340">
        <f t="shared" si="223"/>
        <v>8.190714783620115E-2</v>
      </c>
      <c r="O550" s="341">
        <f t="shared" si="224"/>
        <v>1.0017275143324664</v>
      </c>
      <c r="P550" s="342">
        <f t="shared" si="225"/>
        <v>0.12940134570785447</v>
      </c>
      <c r="Q550" s="343">
        <f t="shared" si="226"/>
        <v>-4.5065316900444961</v>
      </c>
      <c r="R550" s="344">
        <f t="shared" si="227"/>
        <v>-74.085296030975769</v>
      </c>
      <c r="S550" s="346">
        <f t="shared" si="228"/>
        <v>105.91470396902423</v>
      </c>
      <c r="U550" s="319">
        <f t="shared" si="234"/>
        <v>85609.5</v>
      </c>
      <c r="V550" s="319">
        <f t="shared" si="235"/>
        <v>7328986490.25</v>
      </c>
      <c r="X550" s="345">
        <f t="shared" si="229"/>
        <v>1.3648816161322019</v>
      </c>
      <c r="Y550" s="346">
        <f t="shared" si="230"/>
        <v>-8.7282879046161241</v>
      </c>
      <c r="AA550" s="345">
        <f t="shared" si="231"/>
        <v>27.352215562755685</v>
      </c>
      <c r="AB550" s="346">
        <f t="shared" si="232"/>
        <v>-65.357008126359645</v>
      </c>
      <c r="AD550">
        <f t="shared" si="236"/>
        <v>0</v>
      </c>
      <c r="AE550">
        <f t="shared" si="239"/>
        <v>0</v>
      </c>
    </row>
    <row r="551" spans="1:31" x14ac:dyDescent="0.2">
      <c r="A551" s="347">
        <v>86105</v>
      </c>
      <c r="B551" s="364">
        <f t="shared" si="233"/>
        <v>86.105000000000004</v>
      </c>
      <c r="C551" s="337">
        <f t="shared" si="214"/>
        <v>1.9073863657812693</v>
      </c>
      <c r="D551" s="338">
        <f t="shared" si="215"/>
        <v>1.0189297402548092</v>
      </c>
      <c r="E551" s="338">
        <f t="shared" si="216"/>
        <v>1.0000129312164561</v>
      </c>
      <c r="F551" s="339">
        <f t="shared" si="217"/>
        <v>5.0854846594280542E-3</v>
      </c>
      <c r="G551" s="338">
        <f t="shared" si="218"/>
        <v>1</v>
      </c>
      <c r="H551" s="339">
        <f t="shared" si="219"/>
        <v>0</v>
      </c>
      <c r="I551" s="337">
        <f t="shared" si="220"/>
        <v>934885.87899600563</v>
      </c>
      <c r="J551" s="340">
        <f t="shared" si="221"/>
        <v>1.5707952571456245</v>
      </c>
      <c r="K551" s="348">
        <f t="shared" si="237"/>
        <v>14.291820210686422</v>
      </c>
      <c r="L551" s="349">
        <f t="shared" si="238"/>
        <v>1.5007690134659923</v>
      </c>
      <c r="M551" s="337">
        <f t="shared" si="222"/>
        <v>1.0034027778189918</v>
      </c>
      <c r="N551" s="340">
        <f t="shared" si="223"/>
        <v>8.2379083189589919E-2</v>
      </c>
      <c r="O551" s="341">
        <f t="shared" si="224"/>
        <v>1.0017478111392988</v>
      </c>
      <c r="P551" s="342">
        <f t="shared" si="225"/>
        <v>0.13015190238787339</v>
      </c>
      <c r="Q551" s="343">
        <f t="shared" si="226"/>
        <v>-4.5435825588776471</v>
      </c>
      <c r="R551" s="344">
        <f t="shared" si="227"/>
        <v>-74.278333721415393</v>
      </c>
      <c r="S551" s="346">
        <f t="shared" si="228"/>
        <v>105.72166627858461</v>
      </c>
      <c r="U551" s="319">
        <f t="shared" si="234"/>
        <v>86105</v>
      </c>
      <c r="V551" s="319">
        <f t="shared" si="235"/>
        <v>7414071025</v>
      </c>
      <c r="X551" s="345">
        <f t="shared" si="229"/>
        <v>1.3642973042465047</v>
      </c>
      <c r="Y551" s="346">
        <f t="shared" si="230"/>
        <v>-8.7321820148961589</v>
      </c>
      <c r="AA551" s="345">
        <f t="shared" si="231"/>
        <v>27.315749005808225</v>
      </c>
      <c r="AB551" s="346">
        <f t="shared" si="232"/>
        <v>-65.54615170651924</v>
      </c>
      <c r="AD551">
        <f t="shared" si="236"/>
        <v>0</v>
      </c>
      <c r="AE551">
        <f t="shared" si="239"/>
        <v>0</v>
      </c>
    </row>
    <row r="552" spans="1:31" x14ac:dyDescent="0.2">
      <c r="A552" s="347">
        <v>86600.5</v>
      </c>
      <c r="B552" s="364">
        <f t="shared" si="233"/>
        <v>86.600499999999997</v>
      </c>
      <c r="C552" s="337">
        <f t="shared" si="214"/>
        <v>1.9153518746021079</v>
      </c>
      <c r="D552" s="338">
        <f t="shared" si="215"/>
        <v>1.0214881848469077</v>
      </c>
      <c r="E552" s="338">
        <f t="shared" si="216"/>
        <v>1.0000130804717093</v>
      </c>
      <c r="F552" s="339">
        <f t="shared" si="217"/>
        <v>5.1147490903818392E-3</v>
      </c>
      <c r="G552" s="338">
        <f t="shared" si="218"/>
        <v>1</v>
      </c>
      <c r="H552" s="339">
        <f t="shared" si="219"/>
        <v>0</v>
      </c>
      <c r="I552" s="337">
        <f t="shared" si="220"/>
        <v>940265.77508847404</v>
      </c>
      <c r="J552" s="340">
        <f t="shared" si="221"/>
        <v>1.5707952632658111</v>
      </c>
      <c r="K552" s="348">
        <f t="shared" si="237"/>
        <v>14.373662443261534</v>
      </c>
      <c r="L552" s="349">
        <f t="shared" si="238"/>
        <v>1.5011683896236341</v>
      </c>
      <c r="M552" s="337">
        <f t="shared" si="222"/>
        <v>1.0034419864040645</v>
      </c>
      <c r="N552" s="340">
        <f t="shared" si="223"/>
        <v>8.2850981767183141E-2</v>
      </c>
      <c r="O552" s="341">
        <f t="shared" si="224"/>
        <v>1.0017682306653222</v>
      </c>
      <c r="P552" s="342">
        <f t="shared" si="225"/>
        <v>0.13090248626449993</v>
      </c>
      <c r="Q552" s="343">
        <f t="shared" si="226"/>
        <v>-4.580538278075605</v>
      </c>
      <c r="R552" s="344">
        <f t="shared" si="227"/>
        <v>-74.470405938042106</v>
      </c>
      <c r="S552" s="346">
        <f t="shared" si="228"/>
        <v>105.52959406195789</v>
      </c>
      <c r="U552" s="319">
        <f t="shared" si="234"/>
        <v>86600.5</v>
      </c>
      <c r="V552" s="319">
        <f t="shared" si="235"/>
        <v>7499646600.25</v>
      </c>
      <c r="X552" s="345">
        <f t="shared" si="229"/>
        <v>1.3637152822459706</v>
      </c>
      <c r="Y552" s="346">
        <f t="shared" si="230"/>
        <v>-8.7363375941450698</v>
      </c>
      <c r="AA552" s="345">
        <f t="shared" si="231"/>
        <v>27.279375308610806</v>
      </c>
      <c r="AB552" s="346">
        <f t="shared" si="232"/>
        <v>-65.734068343897036</v>
      </c>
      <c r="AD552">
        <f t="shared" si="236"/>
        <v>0</v>
      </c>
      <c r="AE552">
        <f t="shared" si="239"/>
        <v>0</v>
      </c>
    </row>
    <row r="553" spans="1:31" x14ac:dyDescent="0.2">
      <c r="A553" s="347">
        <v>87096</v>
      </c>
      <c r="B553" s="364">
        <f t="shared" si="233"/>
        <v>87.096000000000004</v>
      </c>
      <c r="C553" s="337">
        <f t="shared" si="214"/>
        <v>1.9233298167305792</v>
      </c>
      <c r="D553" s="338">
        <f t="shared" si="215"/>
        <v>1.0240254211556414</v>
      </c>
      <c r="E553" s="338">
        <f t="shared" si="216"/>
        <v>1.0000132305833807</v>
      </c>
      <c r="F553" s="339">
        <f t="shared" si="217"/>
        <v>5.1440135125749376E-3</v>
      </c>
      <c r="G553" s="338">
        <f t="shared" si="218"/>
        <v>1</v>
      </c>
      <c r="H553" s="339">
        <f t="shared" si="219"/>
        <v>0</v>
      </c>
      <c r="I553" s="337">
        <f t="shared" si="220"/>
        <v>945645.67118094245</v>
      </c>
      <c r="J553" s="340">
        <f t="shared" si="221"/>
        <v>1.5707952693163605</v>
      </c>
      <c r="K553" s="348">
        <f t="shared" si="237"/>
        <v>14.455506942494429</v>
      </c>
      <c r="L553" s="349">
        <f t="shared" si="238"/>
        <v>1.5015632434506734</v>
      </c>
      <c r="M553" s="337">
        <f t="shared" si="222"/>
        <v>1.0034814184264036</v>
      </c>
      <c r="N553" s="340">
        <f t="shared" si="223"/>
        <v>8.3322843363131407E-2</v>
      </c>
      <c r="O553" s="341">
        <f t="shared" si="224"/>
        <v>1.0017887730065593</v>
      </c>
      <c r="P553" s="342">
        <f t="shared" si="225"/>
        <v>0.13165309748297152</v>
      </c>
      <c r="Q553" s="343">
        <f t="shared" si="226"/>
        <v>-4.6173987787800002</v>
      </c>
      <c r="R553" s="344">
        <f t="shared" si="227"/>
        <v>-74.661521564189457</v>
      </c>
      <c r="S553" s="346">
        <f t="shared" si="228"/>
        <v>105.33847843581054</v>
      </c>
      <c r="U553" s="319">
        <f t="shared" si="234"/>
        <v>87096</v>
      </c>
      <c r="V553" s="319">
        <f t="shared" si="235"/>
        <v>7585713216</v>
      </c>
      <c r="X553" s="345">
        <f t="shared" si="229"/>
        <v>1.3631354554094024</v>
      </c>
      <c r="Y553" s="346">
        <f t="shared" si="230"/>
        <v>-8.7407501609692577</v>
      </c>
      <c r="AA553" s="345">
        <f t="shared" si="231"/>
        <v>27.243094634742981</v>
      </c>
      <c r="AB553" s="346">
        <f t="shared" si="232"/>
        <v>-65.920771403220215</v>
      </c>
      <c r="AD553">
        <f t="shared" si="236"/>
        <v>0</v>
      </c>
      <c r="AE553">
        <f t="shared" si="239"/>
        <v>0</v>
      </c>
    </row>
    <row r="554" spans="1:31" x14ac:dyDescent="0.2">
      <c r="A554" s="347">
        <v>87603.25</v>
      </c>
      <c r="B554" s="364">
        <f t="shared" si="233"/>
        <v>87.603250000000003</v>
      </c>
      <c r="C554" s="337">
        <f t="shared" si="214"/>
        <v>1.9315096613649529</v>
      </c>
      <c r="D554" s="338">
        <f t="shared" si="215"/>
        <v>1.0266010958733516</v>
      </c>
      <c r="E554" s="338">
        <f t="shared" si="216"/>
        <v>1.0000133851418342</v>
      </c>
      <c r="F554" s="339">
        <f t="shared" si="217"/>
        <v>5.1739718851984947E-3</v>
      </c>
      <c r="G554" s="338">
        <f t="shared" si="218"/>
        <v>1</v>
      </c>
      <c r="H554" s="339">
        <f t="shared" si="219"/>
        <v>0</v>
      </c>
      <c r="I554" s="337">
        <f t="shared" si="220"/>
        <v>951153.14301324252</v>
      </c>
      <c r="J554" s="340">
        <f t="shared" si="221"/>
        <v>1.5707952754394894</v>
      </c>
      <c r="K554" s="348">
        <f t="shared" si="237"/>
        <v>14.539294562733025</v>
      </c>
      <c r="L554" s="349">
        <f t="shared" si="238"/>
        <v>1.5019628557577767</v>
      </c>
      <c r="M554" s="337">
        <f t="shared" si="222"/>
        <v>1.003522016937163</v>
      </c>
      <c r="N554" s="340">
        <f t="shared" si="223"/>
        <v>8.3805855889361097E-2</v>
      </c>
      <c r="O554" s="341">
        <f t="shared" si="224"/>
        <v>1.0018099297960967</v>
      </c>
      <c r="P554" s="342">
        <f t="shared" si="225"/>
        <v>0.13242153673463022</v>
      </c>
      <c r="Q554" s="343">
        <f t="shared" si="226"/>
        <v>-4.6550346793507105</v>
      </c>
      <c r="R554" s="344">
        <f t="shared" si="227"/>
        <v>-74.856187524150926</v>
      </c>
      <c r="S554" s="346">
        <f t="shared" si="228"/>
        <v>105.14381247584907</v>
      </c>
      <c r="U554" s="319">
        <f t="shared" si="234"/>
        <v>87603.25</v>
      </c>
      <c r="V554" s="319">
        <f t="shared" si="235"/>
        <v>7674329410.5625</v>
      </c>
      <c r="X554" s="345">
        <f t="shared" si="229"/>
        <v>1.3625440566737324</v>
      </c>
      <c r="Y554" s="346">
        <f t="shared" si="230"/>
        <v>-8.7455289923705664</v>
      </c>
      <c r="AA554" s="345">
        <f t="shared" si="231"/>
        <v>27.206050132907937</v>
      </c>
      <c r="AB554" s="346">
        <f t="shared" si="232"/>
        <v>-66.110658531780359</v>
      </c>
      <c r="AD554">
        <f t="shared" si="236"/>
        <v>0</v>
      </c>
      <c r="AE554">
        <f t="shared" si="239"/>
        <v>0</v>
      </c>
    </row>
    <row r="555" spans="1:31" x14ac:dyDescent="0.2">
      <c r="A555" s="347">
        <v>88110.5</v>
      </c>
      <c r="B555" s="364">
        <f t="shared" si="233"/>
        <v>88.110500000000002</v>
      </c>
      <c r="C555" s="337">
        <f t="shared" si="214"/>
        <v>1.9397022117052889</v>
      </c>
      <c r="D555" s="338">
        <f t="shared" si="215"/>
        <v>1.0291550301117107</v>
      </c>
      <c r="E555" s="338">
        <f t="shared" si="216"/>
        <v>1.0000135405978039</v>
      </c>
      <c r="F555" s="339">
        <f t="shared" si="217"/>
        <v>5.2039302485346502E-3</v>
      </c>
      <c r="G555" s="338">
        <f t="shared" si="218"/>
        <v>1</v>
      </c>
      <c r="H555" s="339">
        <f t="shared" si="219"/>
        <v>0</v>
      </c>
      <c r="I555" s="337">
        <f t="shared" si="220"/>
        <v>956660.61484554247</v>
      </c>
      <c r="J555" s="340">
        <f t="shared" si="221"/>
        <v>1.5707952814921169</v>
      </c>
      <c r="K555" s="348">
        <f t="shared" si="237"/>
        <v>14.623084478144539</v>
      </c>
      <c r="L555" s="349">
        <f t="shared" si="238"/>
        <v>1.502357888589924</v>
      </c>
      <c r="M555" s="337">
        <f t="shared" si="222"/>
        <v>1.003562849551739</v>
      </c>
      <c r="N555" s="340">
        <f t="shared" si="223"/>
        <v>8.4288829222971567E-2</v>
      </c>
      <c r="O555" s="341">
        <f t="shared" si="224"/>
        <v>1.0018312155000337</v>
      </c>
      <c r="P555" s="342">
        <f t="shared" si="225"/>
        <v>0.13319000494764777</v>
      </c>
      <c r="Q555" s="343">
        <f t="shared" si="226"/>
        <v>-4.692570692518351</v>
      </c>
      <c r="R555" s="344">
        <f t="shared" si="227"/>
        <v>-75.049869641271869</v>
      </c>
      <c r="S555" s="346">
        <f t="shared" si="228"/>
        <v>104.95013035872813</v>
      </c>
      <c r="U555" s="319">
        <f t="shared" si="234"/>
        <v>88110.5</v>
      </c>
      <c r="V555" s="319">
        <f t="shared" si="235"/>
        <v>7763460210.25</v>
      </c>
      <c r="X555" s="345">
        <f t="shared" si="229"/>
        <v>1.3619547660451368</v>
      </c>
      <c r="Y555" s="346">
        <f t="shared" si="230"/>
        <v>-8.7505679587484355</v>
      </c>
      <c r="AA555" s="345">
        <f t="shared" si="231"/>
        <v>27.169103410368894</v>
      </c>
      <c r="AB555" s="346">
        <f t="shared" si="232"/>
        <v>-66.299301682523435</v>
      </c>
      <c r="AD555">
        <f t="shared" si="236"/>
        <v>0</v>
      </c>
      <c r="AE555">
        <f t="shared" si="239"/>
        <v>0</v>
      </c>
    </row>
    <row r="556" spans="1:31" x14ac:dyDescent="0.2">
      <c r="A556" s="347">
        <v>88617.75</v>
      </c>
      <c r="B556" s="364">
        <f t="shared" si="233"/>
        <v>88.617750000000001</v>
      </c>
      <c r="C556" s="337">
        <f t="shared" si="214"/>
        <v>1.9479073074378013</v>
      </c>
      <c r="D556" s="338">
        <f t="shared" si="215"/>
        <v>1.0316874650726249</v>
      </c>
      <c r="E556" s="338">
        <f t="shared" si="216"/>
        <v>1.0000136969512887</v>
      </c>
      <c r="F556" s="339">
        <f t="shared" si="217"/>
        <v>5.2338886025296329E-3</v>
      </c>
      <c r="G556" s="338">
        <f t="shared" si="218"/>
        <v>1</v>
      </c>
      <c r="H556" s="339">
        <f t="shared" si="219"/>
        <v>0</v>
      </c>
      <c r="I556" s="337">
        <f t="shared" si="220"/>
        <v>962168.08667784242</v>
      </c>
      <c r="J556" s="340">
        <f t="shared" si="221"/>
        <v>1.5707952874754536</v>
      </c>
      <c r="K556" s="348">
        <f t="shared" si="237"/>
        <v>14.706876649499909</v>
      </c>
      <c r="L556" s="349">
        <f t="shared" si="238"/>
        <v>1.5027484200971937</v>
      </c>
      <c r="M556" s="337">
        <f t="shared" si="222"/>
        <v>1.0036039162415571</v>
      </c>
      <c r="N556" s="340">
        <f t="shared" si="223"/>
        <v>8.4771763143440565E-2</v>
      </c>
      <c r="O556" s="341">
        <f t="shared" si="224"/>
        <v>1.001852630223149</v>
      </c>
      <c r="P556" s="342">
        <f t="shared" si="225"/>
        <v>0.13395850227720679</v>
      </c>
      <c r="Q556" s="343">
        <f t="shared" si="226"/>
        <v>-4.7300067907122276</v>
      </c>
      <c r="R556" s="344">
        <f t="shared" si="227"/>
        <v>-75.242577254062638</v>
      </c>
      <c r="S556" s="346">
        <f t="shared" si="228"/>
        <v>104.75742274593736</v>
      </c>
      <c r="U556" s="319">
        <f t="shared" si="234"/>
        <v>88617.75</v>
      </c>
      <c r="V556" s="319">
        <f t="shared" si="235"/>
        <v>7853105615.0625</v>
      </c>
      <c r="X556" s="345">
        <f t="shared" si="229"/>
        <v>1.3613674903183084</v>
      </c>
      <c r="Y556" s="346">
        <f t="shared" si="230"/>
        <v>-8.7558625698675776</v>
      </c>
      <c r="AA556" s="345">
        <f t="shared" si="231"/>
        <v>27.132254587901844</v>
      </c>
      <c r="AB556" s="346">
        <f t="shared" si="232"/>
        <v>-66.486714684195078</v>
      </c>
      <c r="AD556">
        <f t="shared" si="236"/>
        <v>0</v>
      </c>
      <c r="AE556">
        <f t="shared" si="239"/>
        <v>0</v>
      </c>
    </row>
    <row r="557" spans="1:31" x14ac:dyDescent="0.2">
      <c r="A557" s="347">
        <v>89125</v>
      </c>
      <c r="B557" s="364">
        <f t="shared" si="233"/>
        <v>89.125</v>
      </c>
      <c r="C557" s="337">
        <f t="shared" si="214"/>
        <v>1.956124790695047</v>
      </c>
      <c r="D557" s="338">
        <f t="shared" si="215"/>
        <v>1.0341986390172837</v>
      </c>
      <c r="E557" s="338">
        <f t="shared" si="216"/>
        <v>1.0000138542022885</v>
      </c>
      <c r="F557" s="339">
        <f t="shared" si="217"/>
        <v>5.2638469471296707E-3</v>
      </c>
      <c r="G557" s="338">
        <f t="shared" si="218"/>
        <v>1</v>
      </c>
      <c r="H557" s="339">
        <f t="shared" si="219"/>
        <v>0</v>
      </c>
      <c r="I557" s="337">
        <f t="shared" si="220"/>
        <v>967675.55851014249</v>
      </c>
      <c r="J557" s="340">
        <f t="shared" si="221"/>
        <v>1.5707952933906826</v>
      </c>
      <c r="K557" s="348">
        <f t="shared" si="237"/>
        <v>14.790671038457987</v>
      </c>
      <c r="L557" s="349">
        <f t="shared" si="238"/>
        <v>1.5031345266642357</v>
      </c>
      <c r="M557" s="337">
        <f t="shared" si="222"/>
        <v>1.0036452169778842</v>
      </c>
      <c r="N557" s="340">
        <f t="shared" si="223"/>
        <v>8.5254657430355346E-2</v>
      </c>
      <c r="O557" s="341">
        <f t="shared" si="224"/>
        <v>1.001874174070815</v>
      </c>
      <c r="P557" s="342">
        <f t="shared" si="225"/>
        <v>0.13472702887827367</v>
      </c>
      <c r="Q557" s="343">
        <f t="shared" si="226"/>
        <v>-4.767342961036241</v>
      </c>
      <c r="R557" s="344">
        <f t="shared" si="227"/>
        <v>-75.434319633686869</v>
      </c>
      <c r="S557" s="346">
        <f t="shared" si="228"/>
        <v>104.56568036631313</v>
      </c>
      <c r="U557" s="319">
        <f t="shared" si="234"/>
        <v>89125</v>
      </c>
      <c r="V557" s="319">
        <f t="shared" si="235"/>
        <v>7943265625</v>
      </c>
      <c r="X557" s="345">
        <f t="shared" si="229"/>
        <v>1.3607821389372008</v>
      </c>
      <c r="Y557" s="346">
        <f t="shared" si="230"/>
        <v>-8.7614084366489724</v>
      </c>
      <c r="AA557" s="345">
        <f t="shared" si="231"/>
        <v>27.095503768958938</v>
      </c>
      <c r="AB557" s="346">
        <f t="shared" si="232"/>
        <v>-66.672911197037891</v>
      </c>
      <c r="AD557">
        <f t="shared" si="236"/>
        <v>0</v>
      </c>
      <c r="AE557">
        <f t="shared" si="239"/>
        <v>0</v>
      </c>
    </row>
    <row r="558" spans="1:31" x14ac:dyDescent="0.2">
      <c r="A558" s="347">
        <v>89644</v>
      </c>
      <c r="B558" s="364">
        <f t="shared" si="233"/>
        <v>89.644000000000005</v>
      </c>
      <c r="C558" s="337">
        <f t="shared" si="214"/>
        <v>1.964545283856318</v>
      </c>
      <c r="D558" s="338">
        <f t="shared" si="215"/>
        <v>1.0367462220918049</v>
      </c>
      <c r="E558" s="338">
        <f t="shared" si="216"/>
        <v>1.0000140160248101</v>
      </c>
      <c r="F558" s="339">
        <f t="shared" si="217"/>
        <v>5.2944992406467172E-3</v>
      </c>
      <c r="G558" s="338">
        <f t="shared" si="218"/>
        <v>1</v>
      </c>
      <c r="H558" s="339">
        <f t="shared" si="219"/>
        <v>0</v>
      </c>
      <c r="I558" s="337">
        <f t="shared" si="220"/>
        <v>973310.606082274</v>
      </c>
      <c r="J558" s="340">
        <f t="shared" si="221"/>
        <v>1.570795299373646</v>
      </c>
      <c r="K558" s="348">
        <f t="shared" si="237"/>
        <v>14.876408706884698</v>
      </c>
      <c r="L558" s="349">
        <f t="shared" si="238"/>
        <v>1.5035250750428768</v>
      </c>
      <c r="M558" s="337">
        <f t="shared" si="222"/>
        <v>1.0036877166208213</v>
      </c>
      <c r="N558" s="340">
        <f t="shared" si="223"/>
        <v>8.574869628752492E-2</v>
      </c>
      <c r="O558" s="341">
        <f t="shared" si="224"/>
        <v>1.0018963507190641</v>
      </c>
      <c r="P558" s="342">
        <f t="shared" si="225"/>
        <v>0.13551338817978467</v>
      </c>
      <c r="Q558" s="343">
        <f t="shared" si="226"/>
        <v>-4.8054405655713177</v>
      </c>
      <c r="R558" s="344">
        <f t="shared" si="227"/>
        <v>-75.62951412458348</v>
      </c>
      <c r="S558" s="346">
        <f t="shared" si="228"/>
        <v>104.37048587541652</v>
      </c>
      <c r="U558" s="319">
        <f t="shared" si="234"/>
        <v>89644</v>
      </c>
      <c r="V558" s="319">
        <f t="shared" si="235"/>
        <v>8036046736</v>
      </c>
      <c r="X558" s="345">
        <f t="shared" si="229"/>
        <v>1.3601851283667379</v>
      </c>
      <c r="Y558" s="346">
        <f t="shared" si="230"/>
        <v>-8.7673383470937711</v>
      </c>
      <c r="AA558" s="345">
        <f t="shared" si="231"/>
        <v>27.058003174994326</v>
      </c>
      <c r="AB558" s="346">
        <f t="shared" si="232"/>
        <v>-66.862175777489711</v>
      </c>
      <c r="AD558">
        <f t="shared" si="236"/>
        <v>0</v>
      </c>
      <c r="AE558">
        <f t="shared" si="239"/>
        <v>0</v>
      </c>
    </row>
    <row r="559" spans="1:31" x14ac:dyDescent="0.2">
      <c r="A559" s="347">
        <v>90163</v>
      </c>
      <c r="B559" s="364">
        <f t="shared" si="233"/>
        <v>90.162999999999997</v>
      </c>
      <c r="C559" s="337">
        <f t="shared" si="214"/>
        <v>1.9729784183872892</v>
      </c>
      <c r="D559" s="338">
        <f t="shared" si="215"/>
        <v>1.0392720430892786</v>
      </c>
      <c r="E559" s="338">
        <f t="shared" si="216"/>
        <v>1.0000141787869077</v>
      </c>
      <c r="F559" s="339">
        <f t="shared" si="217"/>
        <v>5.3251515242146424E-3</v>
      </c>
      <c r="G559" s="338">
        <f t="shared" si="218"/>
        <v>1</v>
      </c>
      <c r="H559" s="339">
        <f t="shared" si="219"/>
        <v>0</v>
      </c>
      <c r="I559" s="337">
        <f t="shared" si="220"/>
        <v>978945.65365440573</v>
      </c>
      <c r="J559" s="340">
        <f t="shared" si="221"/>
        <v>1.570795305287731</v>
      </c>
      <c r="K559" s="348">
        <f t="shared" si="237"/>
        <v>14.962148618375696</v>
      </c>
      <c r="L559" s="349">
        <f t="shared" si="238"/>
        <v>1.5039111474404363</v>
      </c>
      <c r="M559" s="337">
        <f t="shared" si="222"/>
        <v>1.003730461217448</v>
      </c>
      <c r="N559" s="340">
        <f t="shared" si="223"/>
        <v>8.6242693187244993E-2</v>
      </c>
      <c r="O559" s="341">
        <f t="shared" si="224"/>
        <v>1.001918662768341</v>
      </c>
      <c r="P559" s="342">
        <f t="shared" si="225"/>
        <v>0.13629977845212449</v>
      </c>
      <c r="Q559" s="343">
        <f t="shared" si="226"/>
        <v>-4.8434335769104457</v>
      </c>
      <c r="R559" s="344">
        <f t="shared" si="227"/>
        <v>-75.823717562272449</v>
      </c>
      <c r="S559" s="346">
        <f t="shared" si="228"/>
        <v>104.17628243772755</v>
      </c>
      <c r="U559" s="319">
        <f t="shared" si="234"/>
        <v>90163</v>
      </c>
      <c r="V559" s="319">
        <f t="shared" si="235"/>
        <v>8129366569</v>
      </c>
      <c r="X559" s="345">
        <f t="shared" si="229"/>
        <v>1.3595899486428058</v>
      </c>
      <c r="Y559" s="346">
        <f t="shared" si="230"/>
        <v>-8.7735223044328059</v>
      </c>
      <c r="AA559" s="345">
        <f t="shared" si="231"/>
        <v>27.020605343379124</v>
      </c>
      <c r="AB559" s="346">
        <f t="shared" si="232"/>
        <v>-67.050195257839647</v>
      </c>
      <c r="AD559">
        <f t="shared" si="236"/>
        <v>0</v>
      </c>
      <c r="AE559">
        <f t="shared" si="239"/>
        <v>0</v>
      </c>
    </row>
    <row r="560" spans="1:31" x14ac:dyDescent="0.2">
      <c r="A560" s="347">
        <v>90682</v>
      </c>
      <c r="B560" s="364">
        <f t="shared" si="233"/>
        <v>90.682000000000002</v>
      </c>
      <c r="C560" s="337">
        <f t="shared" si="214"/>
        <v>1.981424032879249</v>
      </c>
      <c r="D560" s="338">
        <f t="shared" si="215"/>
        <v>1.0417763478502007</v>
      </c>
      <c r="E560" s="338">
        <f t="shared" si="216"/>
        <v>1.0000143424885806</v>
      </c>
      <c r="F560" s="339">
        <f t="shared" si="217"/>
        <v>5.3558037977758498E-3</v>
      </c>
      <c r="G560" s="338">
        <f t="shared" si="218"/>
        <v>1</v>
      </c>
      <c r="H560" s="339">
        <f t="shared" si="219"/>
        <v>0</v>
      </c>
      <c r="I560" s="337">
        <f t="shared" si="220"/>
        <v>984580.70122653747</v>
      </c>
      <c r="J560" s="340">
        <f t="shared" si="221"/>
        <v>1.5707953111341197</v>
      </c>
      <c r="K560" s="348">
        <f t="shared" si="237"/>
        <v>15.047890734589364</v>
      </c>
      <c r="L560" s="349">
        <f t="shared" si="238"/>
        <v>1.5042928202525672</v>
      </c>
      <c r="M560" s="337">
        <f t="shared" si="222"/>
        <v>1.0037734507364708</v>
      </c>
      <c r="N560" s="340">
        <f t="shared" si="223"/>
        <v>8.6736647893788182E-2</v>
      </c>
      <c r="O560" s="341">
        <f t="shared" si="224"/>
        <v>1.0019411103334401</v>
      </c>
      <c r="P560" s="342">
        <f t="shared" si="225"/>
        <v>0.13708619986056866</v>
      </c>
      <c r="Q560" s="343">
        <f t="shared" si="226"/>
        <v>-4.8813220259963463</v>
      </c>
      <c r="R560" s="344">
        <f t="shared" si="227"/>
        <v>-76.016939651262589</v>
      </c>
      <c r="S560" s="346">
        <f t="shared" si="228"/>
        <v>103.98306034873741</v>
      </c>
      <c r="U560" s="319">
        <f t="shared" si="234"/>
        <v>90682</v>
      </c>
      <c r="V560" s="319">
        <f t="shared" si="235"/>
        <v>8223225124</v>
      </c>
      <c r="X560" s="345">
        <f t="shared" si="229"/>
        <v>1.3589965108114075</v>
      </c>
      <c r="Y560" s="346">
        <f t="shared" si="230"/>
        <v>-8.7799559180791054</v>
      </c>
      <c r="AA560" s="345">
        <f t="shared" si="231"/>
        <v>26.983310332124631</v>
      </c>
      <c r="AB560" s="346">
        <f t="shared" si="232"/>
        <v>-67.236983733183479</v>
      </c>
      <c r="AD560">
        <f t="shared" si="236"/>
        <v>0</v>
      </c>
      <c r="AE560">
        <f t="shared" si="239"/>
        <v>0</v>
      </c>
    </row>
    <row r="561" spans="1:31" x14ac:dyDescent="0.2">
      <c r="A561" s="347">
        <v>91201</v>
      </c>
      <c r="B561" s="364">
        <f t="shared" si="233"/>
        <v>91.200999999999993</v>
      </c>
      <c r="C561" s="337">
        <f t="shared" si="214"/>
        <v>1.9898819684268898</v>
      </c>
      <c r="D561" s="338">
        <f t="shared" si="215"/>
        <v>1.0442593791241106</v>
      </c>
      <c r="E561" s="338">
        <f t="shared" si="216"/>
        <v>1.0000145071298285</v>
      </c>
      <c r="F561" s="339">
        <f t="shared" si="217"/>
        <v>5.3864560612727477E-3</v>
      </c>
      <c r="G561" s="338">
        <f t="shared" si="218"/>
        <v>1</v>
      </c>
      <c r="H561" s="339">
        <f t="shared" si="219"/>
        <v>0</v>
      </c>
      <c r="I561" s="337">
        <f t="shared" si="220"/>
        <v>990215.7487986692</v>
      </c>
      <c r="J561" s="340">
        <f t="shared" si="221"/>
        <v>1.5707953169139679</v>
      </c>
      <c r="K561" s="348">
        <f t="shared" si="237"/>
        <v>15.133635018052043</v>
      </c>
      <c r="L561" s="349">
        <f t="shared" si="238"/>
        <v>1.504670168148744</v>
      </c>
      <c r="M561" s="337">
        <f t="shared" si="222"/>
        <v>1.0038166851464227</v>
      </c>
      <c r="N561" s="340">
        <f t="shared" si="223"/>
        <v>8.7230560171549662E-2</v>
      </c>
      <c r="O561" s="341">
        <f t="shared" si="224"/>
        <v>1.0019636935298055</v>
      </c>
      <c r="P561" s="342">
        <f t="shared" si="225"/>
        <v>0.13787265257015055</v>
      </c>
      <c r="Q561" s="343">
        <f t="shared" si="226"/>
        <v>-4.9191059579054111</v>
      </c>
      <c r="R561" s="344">
        <f t="shared" si="227"/>
        <v>-76.209190017858333</v>
      </c>
      <c r="S561" s="346">
        <f t="shared" si="228"/>
        <v>103.79080998214167</v>
      </c>
      <c r="U561" s="319">
        <f t="shared" si="234"/>
        <v>91201</v>
      </c>
      <c r="V561" s="319">
        <f t="shared" si="235"/>
        <v>8317622401</v>
      </c>
      <c r="X561" s="345">
        <f t="shared" si="229"/>
        <v>1.3584047284495093</v>
      </c>
      <c r="Y561" s="346">
        <f t="shared" si="230"/>
        <v>-8.7866348963540037</v>
      </c>
      <c r="AA561" s="345">
        <f t="shared" si="231"/>
        <v>26.946118182577457</v>
      </c>
      <c r="AB561" s="346">
        <f t="shared" si="232"/>
        <v>-67.422555121504345</v>
      </c>
      <c r="AD561">
        <f t="shared" si="236"/>
        <v>0</v>
      </c>
      <c r="AE561">
        <f t="shared" si="239"/>
        <v>0</v>
      </c>
    </row>
    <row r="562" spans="1:31" x14ac:dyDescent="0.2">
      <c r="A562" s="347">
        <v>91732</v>
      </c>
      <c r="B562" s="364">
        <f t="shared" si="233"/>
        <v>91.731999999999999</v>
      </c>
      <c r="C562" s="337">
        <f t="shared" si="214"/>
        <v>1.9985480517010346</v>
      </c>
      <c r="D562" s="338">
        <f t="shared" si="215"/>
        <v>1.0467780545064813</v>
      </c>
      <c r="E562" s="338">
        <f t="shared" si="216"/>
        <v>1.0000146765502227</v>
      </c>
      <c r="F562" s="339">
        <f t="shared" si="217"/>
        <v>5.4178170371489446E-3</v>
      </c>
      <c r="G562" s="338">
        <f t="shared" si="218"/>
        <v>1</v>
      </c>
      <c r="H562" s="339">
        <f t="shared" si="219"/>
        <v>0</v>
      </c>
      <c r="I562" s="337">
        <f t="shared" si="220"/>
        <v>995981.08648807555</v>
      </c>
      <c r="J562" s="340">
        <f t="shared" si="221"/>
        <v>1.5707953227597662</v>
      </c>
      <c r="K562" s="348">
        <f t="shared" si="237"/>
        <v>15.221364033095483</v>
      </c>
      <c r="L562" s="349">
        <f t="shared" si="238"/>
        <v>1.5050518408977349</v>
      </c>
      <c r="M562" s="337">
        <f t="shared" si="222"/>
        <v>1.0038611726126259</v>
      </c>
      <c r="N562" s="340">
        <f t="shared" si="223"/>
        <v>8.773584822913888E-2</v>
      </c>
      <c r="O562" s="341">
        <f t="shared" si="224"/>
        <v>1.0019869393735752</v>
      </c>
      <c r="P562" s="342">
        <f t="shared" si="225"/>
        <v>0.13867732172436525</v>
      </c>
      <c r="Q562" s="343">
        <f t="shared" si="226"/>
        <v>-4.9576553980996669</v>
      </c>
      <c r="R562" s="344">
        <f t="shared" si="227"/>
        <v>-76.404889752742505</v>
      </c>
      <c r="S562" s="346">
        <f t="shared" si="228"/>
        <v>103.59511024725749</v>
      </c>
      <c r="U562" s="319">
        <f t="shared" si="234"/>
        <v>91732</v>
      </c>
      <c r="V562" s="319">
        <f t="shared" si="235"/>
        <v>8414759824</v>
      </c>
      <c r="X562" s="345">
        <f t="shared" si="229"/>
        <v>1.3578008890178994</v>
      </c>
      <c r="Y562" s="346">
        <f t="shared" si="230"/>
        <v>-8.7937178667675493</v>
      </c>
      <c r="AA562" s="345">
        <f t="shared" si="231"/>
        <v>26.90817258181481</v>
      </c>
      <c r="AB562" s="346">
        <f t="shared" si="232"/>
        <v>-67.611171885974954</v>
      </c>
      <c r="AD562">
        <f t="shared" si="236"/>
        <v>0</v>
      </c>
      <c r="AE562">
        <f t="shared" si="239"/>
        <v>0</v>
      </c>
    </row>
    <row r="563" spans="1:31" x14ac:dyDescent="0.2">
      <c r="A563" s="347">
        <v>92263</v>
      </c>
      <c r="B563" s="364">
        <f t="shared" si="233"/>
        <v>92.263000000000005</v>
      </c>
      <c r="C563" s="337">
        <f t="shared" si="214"/>
        <v>2.0072267036939837</v>
      </c>
      <c r="D563" s="338">
        <f t="shared" si="215"/>
        <v>1.0492749656064055</v>
      </c>
      <c r="E563" s="338">
        <f t="shared" si="216"/>
        <v>1.0000148469541419</v>
      </c>
      <c r="F563" s="339">
        <f t="shared" si="217"/>
        <v>5.4491780023680787E-3</v>
      </c>
      <c r="G563" s="338">
        <f t="shared" si="218"/>
        <v>1</v>
      </c>
      <c r="H563" s="339">
        <f t="shared" si="219"/>
        <v>0</v>
      </c>
      <c r="I563" s="337">
        <f t="shared" si="220"/>
        <v>1001746.424177482</v>
      </c>
      <c r="J563" s="340">
        <f t="shared" si="221"/>
        <v>1.5707953285382761</v>
      </c>
      <c r="K563" s="348">
        <f t="shared" si="237"/>
        <v>15.309095240083833</v>
      </c>
      <c r="L563" s="349">
        <f t="shared" si="238"/>
        <v>1.5054291392282884</v>
      </c>
      <c r="M563" s="337">
        <f t="shared" si="222"/>
        <v>1.0039059163579156</v>
      </c>
      <c r="N563" s="340">
        <f t="shared" si="223"/>
        <v>8.8241091374681405E-2</v>
      </c>
      <c r="O563" s="341">
        <f t="shared" si="224"/>
        <v>1.0020103274396488</v>
      </c>
      <c r="P563" s="342">
        <f t="shared" si="225"/>
        <v>0.13948202399261994</v>
      </c>
      <c r="Q563" s="343">
        <f t="shared" si="226"/>
        <v>-4.9960955708631865</v>
      </c>
      <c r="R563" s="344">
        <f t="shared" si="227"/>
        <v>-76.599592442590804</v>
      </c>
      <c r="S563" s="346">
        <f t="shared" si="228"/>
        <v>103.4004075574092</v>
      </c>
      <c r="U563" s="319">
        <f t="shared" si="234"/>
        <v>92263</v>
      </c>
      <c r="V563" s="319">
        <f t="shared" si="235"/>
        <v>8512461169</v>
      </c>
      <c r="X563" s="345">
        <f t="shared" si="229"/>
        <v>1.3571986072206035</v>
      </c>
      <c r="Y563" s="346">
        <f t="shared" si="230"/>
        <v>-8.8010488957696147</v>
      </c>
      <c r="AA563" s="345">
        <f t="shared" si="231"/>
        <v>26.87033469084859</v>
      </c>
      <c r="AB563" s="346">
        <f t="shared" si="232"/>
        <v>-67.798543546821179</v>
      </c>
      <c r="AD563">
        <f t="shared" si="236"/>
        <v>0</v>
      </c>
      <c r="AE563">
        <f t="shared" si="239"/>
        <v>0</v>
      </c>
    </row>
    <row r="564" spans="1:31" x14ac:dyDescent="0.2">
      <c r="A564" s="347">
        <v>92794</v>
      </c>
      <c r="B564" s="364">
        <f t="shared" si="233"/>
        <v>92.793999999999997</v>
      </c>
      <c r="C564" s="337">
        <f t="shared" si="214"/>
        <v>2.0159177620783826</v>
      </c>
      <c r="D564" s="338">
        <f t="shared" si="215"/>
        <v>1.0517503625789031</v>
      </c>
      <c r="E564" s="338">
        <f t="shared" si="216"/>
        <v>1.0000150183415852</v>
      </c>
      <c r="F564" s="339">
        <f t="shared" si="217"/>
        <v>5.4805389568684656E-3</v>
      </c>
      <c r="G564" s="338">
        <f t="shared" si="218"/>
        <v>1</v>
      </c>
      <c r="H564" s="339">
        <f t="shared" si="219"/>
        <v>0</v>
      </c>
      <c r="I564" s="337">
        <f t="shared" si="220"/>
        <v>1007511.7618668886</v>
      </c>
      <c r="J564" s="340">
        <f t="shared" si="221"/>
        <v>1.5707953342506527</v>
      </c>
      <c r="K564" s="348">
        <f t="shared" si="237"/>
        <v>15.396828601547957</v>
      </c>
      <c r="L564" s="349">
        <f t="shared" si="238"/>
        <v>1.5058021378102673</v>
      </c>
      <c r="M564" s="337">
        <f t="shared" si="222"/>
        <v>1.0039509163480265</v>
      </c>
      <c r="N564" s="340">
        <f t="shared" si="223"/>
        <v>8.8746289356251992E-2</v>
      </c>
      <c r="O564" s="341">
        <f t="shared" si="224"/>
        <v>1.0020338578537742</v>
      </c>
      <c r="P564" s="342">
        <f t="shared" si="225"/>
        <v>0.14028675955086478</v>
      </c>
      <c r="Q564" s="343">
        <f t="shared" si="226"/>
        <v>-5.0344265674262099</v>
      </c>
      <c r="R564" s="344">
        <f t="shared" si="227"/>
        <v>-76.793308137678665</v>
      </c>
      <c r="S564" s="346">
        <f t="shared" si="228"/>
        <v>103.20669186232134</v>
      </c>
      <c r="U564" s="319">
        <f t="shared" si="234"/>
        <v>92794</v>
      </c>
      <c r="V564" s="319">
        <f t="shared" si="235"/>
        <v>8610726436</v>
      </c>
      <c r="X564" s="345">
        <f t="shared" si="229"/>
        <v>1.3565977981819433</v>
      </c>
      <c r="Y564" s="346">
        <f t="shared" si="230"/>
        <v>-8.8086236907241098</v>
      </c>
      <c r="AA564" s="345">
        <f t="shared" si="231"/>
        <v>26.832604503324227</v>
      </c>
      <c r="AB564" s="346">
        <f t="shared" si="232"/>
        <v>-67.984684446954603</v>
      </c>
      <c r="AD564">
        <f t="shared" si="236"/>
        <v>0</v>
      </c>
      <c r="AE564">
        <f t="shared" si="239"/>
        <v>0</v>
      </c>
    </row>
    <row r="565" spans="1:31" x14ac:dyDescent="0.2">
      <c r="A565" s="347">
        <v>93325</v>
      </c>
      <c r="B565" s="364">
        <f t="shared" si="233"/>
        <v>93.325000000000003</v>
      </c>
      <c r="C565" s="337">
        <f t="shared" si="214"/>
        <v>2.0246210670840847</v>
      </c>
      <c r="D565" s="338">
        <f t="shared" si="215"/>
        <v>1.054204492341456</v>
      </c>
      <c r="E565" s="338">
        <f t="shared" si="216"/>
        <v>1.0000151907125527</v>
      </c>
      <c r="F565" s="339">
        <f t="shared" si="217"/>
        <v>5.5118999005884257E-3</v>
      </c>
      <c r="G565" s="338">
        <f t="shared" si="218"/>
        <v>1</v>
      </c>
      <c r="H565" s="339">
        <f t="shared" si="219"/>
        <v>0</v>
      </c>
      <c r="I565" s="337">
        <f t="shared" si="220"/>
        <v>1013277.0995562952</v>
      </c>
      <c r="J565" s="340">
        <f t="shared" si="221"/>
        <v>1.5707953398980246</v>
      </c>
      <c r="K565" s="348">
        <f t="shared" si="237"/>
        <v>15.484564080866981</v>
      </c>
      <c r="L565" s="349">
        <f t="shared" si="238"/>
        <v>1.5061709096260654</v>
      </c>
      <c r="M565" s="337">
        <f t="shared" si="222"/>
        <v>1.0039961725485032</v>
      </c>
      <c r="N565" s="340">
        <f t="shared" si="223"/>
        <v>8.9251441922062622E-2</v>
      </c>
      <c r="O565" s="341">
        <f t="shared" si="224"/>
        <v>1.00205753074241</v>
      </c>
      <c r="P565" s="342">
        <f t="shared" si="225"/>
        <v>0.14109152857477827</v>
      </c>
      <c r="Q565" s="343">
        <f t="shared" si="226"/>
        <v>-5.0726484925351425</v>
      </c>
      <c r="R565" s="344">
        <f t="shared" si="227"/>
        <v>-76.986046799460198</v>
      </c>
      <c r="S565" s="346">
        <f t="shared" si="228"/>
        <v>103.0139532005398</v>
      </c>
      <c r="U565" s="319">
        <f t="shared" si="234"/>
        <v>93325</v>
      </c>
      <c r="V565" s="319">
        <f t="shared" si="235"/>
        <v>8709555625</v>
      </c>
      <c r="X565" s="345">
        <f t="shared" si="229"/>
        <v>1.3559983794438026</v>
      </c>
      <c r="Y565" s="346">
        <f t="shared" si="230"/>
        <v>-8.8164380556861612</v>
      </c>
      <c r="AA565" s="345">
        <f t="shared" si="231"/>
        <v>26.794981996953435</v>
      </c>
      <c r="AB565" s="346">
        <f t="shared" si="232"/>
        <v>-68.16960874377402</v>
      </c>
      <c r="AD565">
        <f t="shared" si="236"/>
        <v>0</v>
      </c>
      <c r="AE565">
        <f t="shared" si="239"/>
        <v>0</v>
      </c>
    </row>
    <row r="566" spans="1:31" x14ac:dyDescent="0.2">
      <c r="A566" s="347">
        <v>93868.5</v>
      </c>
      <c r="B566" s="364">
        <f t="shared" si="233"/>
        <v>93.868499999999997</v>
      </c>
      <c r="C566" s="337">
        <f t="shared" si="214"/>
        <v>2.0335417704858374</v>
      </c>
      <c r="D566" s="338">
        <f t="shared" si="215"/>
        <v>1.0566946238089618</v>
      </c>
      <c r="E566" s="338">
        <f t="shared" si="216"/>
        <v>1.0000153681597419</v>
      </c>
      <c r="F566" s="339">
        <f t="shared" si="217"/>
        <v>5.5439990850507355E-3</v>
      </c>
      <c r="G566" s="338">
        <f t="shared" si="218"/>
        <v>1</v>
      </c>
      <c r="H566" s="339">
        <f t="shared" si="219"/>
        <v>0</v>
      </c>
      <c r="I566" s="337">
        <f t="shared" si="220"/>
        <v>1019178.1561178629</v>
      </c>
      <c r="J566" s="340">
        <f t="shared" si="221"/>
        <v>1.5707953456121722</v>
      </c>
      <c r="K566" s="348">
        <f t="shared" si="237"/>
        <v>15.574367052196596</v>
      </c>
      <c r="L566" s="349">
        <f t="shared" si="238"/>
        <v>1.5065440597744961</v>
      </c>
      <c r="M566" s="337">
        <f t="shared" si="222"/>
        <v>1.0040427593942696</v>
      </c>
      <c r="N566" s="340">
        <f t="shared" si="223"/>
        <v>8.9768438731959138E-2</v>
      </c>
      <c r="O566" s="341">
        <f t="shared" si="224"/>
        <v>1.0020819085800354</v>
      </c>
      <c r="P566" s="342">
        <f t="shared" si="225"/>
        <v>0.14191527709527324</v>
      </c>
      <c r="Q566" s="343">
        <f t="shared" si="226"/>
        <v>-5.1116573504315337</v>
      </c>
      <c r="R566" s="344">
        <f t="shared" si="227"/>
        <v>-77.182321123009856</v>
      </c>
      <c r="S566" s="346">
        <f t="shared" si="228"/>
        <v>102.81767887699014</v>
      </c>
      <c r="U566" s="319">
        <f t="shared" si="234"/>
        <v>93868.5</v>
      </c>
      <c r="V566" s="319">
        <f t="shared" si="235"/>
        <v>8811295292.25</v>
      </c>
      <c r="X566" s="345">
        <f t="shared" si="229"/>
        <v>1.3553862062629753</v>
      </c>
      <c r="Y566" s="346">
        <f t="shared" si="230"/>
        <v>-8.8246801896911471</v>
      </c>
      <c r="AA566" s="345">
        <f t="shared" si="231"/>
        <v>26.756585312237871</v>
      </c>
      <c r="AB566" s="346">
        <f t="shared" si="232"/>
        <v>-68.357640933318692</v>
      </c>
      <c r="AD566">
        <f t="shared" si="236"/>
        <v>0</v>
      </c>
      <c r="AE566">
        <f t="shared" si="239"/>
        <v>0</v>
      </c>
    </row>
    <row r="567" spans="1:31" x14ac:dyDescent="0.2">
      <c r="A567" s="347">
        <v>94412</v>
      </c>
      <c r="B567" s="364">
        <f t="shared" si="233"/>
        <v>94.412000000000006</v>
      </c>
      <c r="C567" s="337">
        <f t="shared" si="214"/>
        <v>2.042474973189631</v>
      </c>
      <c r="D567" s="338">
        <f t="shared" si="215"/>
        <v>1.0591629882219449</v>
      </c>
      <c r="E567" s="338">
        <f t="shared" si="216"/>
        <v>1.0000155466373042</v>
      </c>
      <c r="F567" s="339">
        <f t="shared" si="217"/>
        <v>5.5760982580883292E-3</v>
      </c>
      <c r="G567" s="338">
        <f t="shared" si="218"/>
        <v>1</v>
      </c>
      <c r="H567" s="339">
        <f t="shared" si="219"/>
        <v>0</v>
      </c>
      <c r="I567" s="337">
        <f t="shared" si="220"/>
        <v>1025079.2126794307</v>
      </c>
      <c r="J567" s="340">
        <f t="shared" si="221"/>
        <v>1.5707953512605304</v>
      </c>
      <c r="K567" s="348">
        <f t="shared" si="237"/>
        <v>15.664172167251857</v>
      </c>
      <c r="L567" s="349">
        <f t="shared" si="238"/>
        <v>1.5069129313190888</v>
      </c>
      <c r="M567" s="337">
        <f t="shared" si="222"/>
        <v>1.0040896145813647</v>
      </c>
      <c r="N567" s="340">
        <f t="shared" si="223"/>
        <v>9.0285387429379929E-2</v>
      </c>
      <c r="O567" s="341">
        <f t="shared" si="224"/>
        <v>1.0021064359493279</v>
      </c>
      <c r="P567" s="342">
        <f t="shared" si="225"/>
        <v>0.14273906104712603</v>
      </c>
      <c r="Q567" s="343">
        <f t="shared" si="226"/>
        <v>-5.150552204674165</v>
      </c>
      <c r="R567" s="344">
        <f t="shared" si="227"/>
        <v>-77.377592702454507</v>
      </c>
      <c r="S567" s="346">
        <f t="shared" si="228"/>
        <v>102.62240729754549</v>
      </c>
      <c r="U567" s="319">
        <f t="shared" si="234"/>
        <v>94412</v>
      </c>
      <c r="V567" s="319">
        <f t="shared" si="235"/>
        <v>8913625744</v>
      </c>
      <c r="X567" s="345">
        <f t="shared" si="229"/>
        <v>1.3547753222151127</v>
      </c>
      <c r="Y567" s="346">
        <f t="shared" si="230"/>
        <v>-8.8331647092272974</v>
      </c>
      <c r="AA567" s="345">
        <f t="shared" si="231"/>
        <v>26.718301342043102</v>
      </c>
      <c r="AB567" s="346">
        <f t="shared" si="232"/>
        <v>-68.544427993227202</v>
      </c>
      <c r="AD567">
        <f t="shared" si="236"/>
        <v>0</v>
      </c>
      <c r="AE567">
        <f t="shared" si="239"/>
        <v>0</v>
      </c>
    </row>
    <row r="568" spans="1:31" x14ac:dyDescent="0.2">
      <c r="A568" s="347">
        <v>94955.5</v>
      </c>
      <c r="B568" s="364">
        <f t="shared" si="233"/>
        <v>94.955500000000001</v>
      </c>
      <c r="C568" s="337">
        <f t="shared" si="214"/>
        <v>2.0514205119055013</v>
      </c>
      <c r="D568" s="338">
        <f t="shared" si="215"/>
        <v>1.0616098400599718</v>
      </c>
      <c r="E568" s="338">
        <f t="shared" si="216"/>
        <v>1.0000157261452391</v>
      </c>
      <c r="F568" s="339">
        <f t="shared" si="217"/>
        <v>5.6081974196350651E-3</v>
      </c>
      <c r="G568" s="338">
        <f t="shared" si="218"/>
        <v>1</v>
      </c>
      <c r="H568" s="339">
        <f t="shared" si="219"/>
        <v>0</v>
      </c>
      <c r="I568" s="337">
        <f t="shared" si="220"/>
        <v>1030980.2692409985</v>
      </c>
      <c r="J568" s="340">
        <f t="shared" si="221"/>
        <v>1.5707953568442294</v>
      </c>
      <c r="K568" s="348">
        <f t="shared" si="237"/>
        <v>15.75397938937202</v>
      </c>
      <c r="L568" s="349">
        <f t="shared" si="238"/>
        <v>1.5072775973304917</v>
      </c>
      <c r="M568" s="337">
        <f t="shared" si="222"/>
        <v>1.0041367380722241</v>
      </c>
      <c r="N568" s="340">
        <f t="shared" si="223"/>
        <v>9.0802287744784965E-2</v>
      </c>
      <c r="O568" s="341">
        <f t="shared" si="224"/>
        <v>1.0021311129882009</v>
      </c>
      <c r="P568" s="342">
        <f t="shared" si="225"/>
        <v>0.14356288061782138</v>
      </c>
      <c r="Q568" s="343">
        <f t="shared" si="226"/>
        <v>-5.1893332085662971</v>
      </c>
      <c r="R568" s="344">
        <f t="shared" si="227"/>
        <v>-77.571871927126679</v>
      </c>
      <c r="S568" s="346">
        <f t="shared" si="228"/>
        <v>102.42812807287332</v>
      </c>
      <c r="U568" s="319">
        <f t="shared" si="234"/>
        <v>94955.5</v>
      </c>
      <c r="V568" s="319">
        <f t="shared" si="235"/>
        <v>9016546980.25</v>
      </c>
      <c r="X568" s="345">
        <f t="shared" si="229"/>
        <v>1.3541656462286344</v>
      </c>
      <c r="Y568" s="346">
        <f t="shared" si="230"/>
        <v>-8.8418874122760869</v>
      </c>
      <c r="AA568" s="345">
        <f t="shared" si="231"/>
        <v>26.680130014137447</v>
      </c>
      <c r="AB568" s="346">
        <f t="shared" si="232"/>
        <v>-68.729984514850585</v>
      </c>
      <c r="AD568">
        <f t="shared" si="236"/>
        <v>0</v>
      </c>
      <c r="AE568">
        <f t="shared" si="239"/>
        <v>0</v>
      </c>
    </row>
    <row r="569" spans="1:31" x14ac:dyDescent="0.2">
      <c r="A569" s="347">
        <v>95499</v>
      </c>
      <c r="B569" s="364">
        <f t="shared" si="233"/>
        <v>95.498999999999995</v>
      </c>
      <c r="C569" s="337">
        <f t="shared" si="214"/>
        <v>2.0603782259557608</v>
      </c>
      <c r="D569" s="338">
        <f t="shared" si="215"/>
        <v>1.0640354304166484</v>
      </c>
      <c r="E569" s="338">
        <f t="shared" si="216"/>
        <v>1.0000159066835459</v>
      </c>
      <c r="F569" s="339">
        <f t="shared" si="217"/>
        <v>5.6402965696248017E-3</v>
      </c>
      <c r="G569" s="338">
        <f t="shared" si="218"/>
        <v>1</v>
      </c>
      <c r="H569" s="339">
        <f t="shared" si="219"/>
        <v>0</v>
      </c>
      <c r="I569" s="337">
        <f t="shared" si="220"/>
        <v>1036881.3258025664</v>
      </c>
      <c r="J569" s="340">
        <f t="shared" si="221"/>
        <v>1.5707953623643729</v>
      </c>
      <c r="K569" s="348">
        <f t="shared" si="237"/>
        <v>15.843788682726711</v>
      </c>
      <c r="L569" s="349">
        <f t="shared" si="238"/>
        <v>1.5076381292271037</v>
      </c>
      <c r="M569" s="337">
        <f t="shared" si="222"/>
        <v>1.0041841298290759</v>
      </c>
      <c r="N569" s="340">
        <f t="shared" si="223"/>
        <v>9.131913940878808E-2</v>
      </c>
      <c r="O569" s="341">
        <f t="shared" si="224"/>
        <v>1.0021559398353466</v>
      </c>
      <c r="P569" s="342">
        <f t="shared" si="225"/>
        <v>0.14438673599453888</v>
      </c>
      <c r="Q569" s="343">
        <f t="shared" si="226"/>
        <v>-5.228000528259126</v>
      </c>
      <c r="R569" s="344">
        <f t="shared" si="227"/>
        <v>-77.765169087014371</v>
      </c>
      <c r="S569" s="346">
        <f t="shared" si="228"/>
        <v>102.23483091298563</v>
      </c>
      <c r="U569" s="319">
        <f t="shared" si="234"/>
        <v>95499</v>
      </c>
      <c r="V569" s="319">
        <f t="shared" si="235"/>
        <v>9120059001</v>
      </c>
      <c r="X569" s="345">
        <f t="shared" si="229"/>
        <v>1.3535570995449551</v>
      </c>
      <c r="Y569" s="346">
        <f t="shared" si="230"/>
        <v>-8.8508441914932181</v>
      </c>
      <c r="AA569" s="345">
        <f t="shared" si="231"/>
        <v>26.642071241128299</v>
      </c>
      <c r="AB569" s="346">
        <f t="shared" si="232"/>
        <v>-68.914324895521133</v>
      </c>
      <c r="AD569">
        <f t="shared" si="236"/>
        <v>0</v>
      </c>
      <c r="AE569">
        <f t="shared" si="239"/>
        <v>0</v>
      </c>
    </row>
    <row r="570" spans="1:31" x14ac:dyDescent="0.2">
      <c r="A570" s="347">
        <v>96611.5</v>
      </c>
      <c r="B570" s="364">
        <f t="shared" si="233"/>
        <v>96.611500000000007</v>
      </c>
      <c r="C570" s="337">
        <f t="shared" si="214"/>
        <v>2.0787512383548483</v>
      </c>
      <c r="D570" s="338">
        <f t="shared" si="215"/>
        <v>1.0689351521162338</v>
      </c>
      <c r="E570" s="338">
        <f t="shared" si="216"/>
        <v>1.0000162794437837</v>
      </c>
      <c r="F570" s="339">
        <f t="shared" si="217"/>
        <v>5.7060008651629917E-3</v>
      </c>
      <c r="G570" s="338">
        <f t="shared" si="218"/>
        <v>1</v>
      </c>
      <c r="H570" s="339">
        <f t="shared" si="219"/>
        <v>0</v>
      </c>
      <c r="I570" s="337">
        <f t="shared" si="220"/>
        <v>1048960.305424911</v>
      </c>
      <c r="J570" s="340">
        <f t="shared" si="221"/>
        <v>1.570795373469976</v>
      </c>
      <c r="K570" s="348">
        <f t="shared" si="237"/>
        <v>16.027627265395395</v>
      </c>
      <c r="L570" s="349">
        <f t="shared" si="238"/>
        <v>1.5083635086506995</v>
      </c>
      <c r="M570" s="337">
        <f t="shared" si="222"/>
        <v>1.0042819732746595</v>
      </c>
      <c r="N570" s="340">
        <f t="shared" si="223"/>
        <v>9.2376939600159261E-2</v>
      </c>
      <c r="O570" s="341">
        <f t="shared" si="224"/>
        <v>1.0022072261077852</v>
      </c>
      <c r="P570" s="342">
        <f t="shared" si="225"/>
        <v>0.14607321293921913</v>
      </c>
      <c r="Q570" s="343">
        <f t="shared" si="226"/>
        <v>-5.3067956175056974</v>
      </c>
      <c r="R570" s="344">
        <f t="shared" si="227"/>
        <v>-78.15781283730422</v>
      </c>
      <c r="S570" s="346">
        <f t="shared" si="228"/>
        <v>101.84218716269578</v>
      </c>
      <c r="U570" s="319">
        <f t="shared" si="234"/>
        <v>96611.5</v>
      </c>
      <c r="V570" s="319">
        <f t="shared" si="235"/>
        <v>9333781932.25</v>
      </c>
      <c r="X570" s="345">
        <f t="shared" si="229"/>
        <v>1.3523146563945601</v>
      </c>
      <c r="Y570" s="346">
        <f t="shared" si="230"/>
        <v>-8.8698911348352052</v>
      </c>
      <c r="AA570" s="345">
        <f t="shared" si="231"/>
        <v>26.564518595032123</v>
      </c>
      <c r="AB570" s="346">
        <f t="shared" si="232"/>
        <v>-69.287921702469006</v>
      </c>
      <c r="AD570">
        <f t="shared" si="236"/>
        <v>0</v>
      </c>
      <c r="AE570">
        <f t="shared" si="239"/>
        <v>0</v>
      </c>
    </row>
    <row r="571" spans="1:31" x14ac:dyDescent="0.2">
      <c r="A571" s="347">
        <v>97724</v>
      </c>
      <c r="B571" s="364">
        <f t="shared" si="233"/>
        <v>97.724000000000004</v>
      </c>
      <c r="C571" s="337">
        <f t="shared" si="214"/>
        <v>2.0971732807875294</v>
      </c>
      <c r="D571" s="338">
        <f t="shared" si="215"/>
        <v>1.073748907179092</v>
      </c>
      <c r="E571" s="338">
        <f t="shared" si="216"/>
        <v>1.000016656521143</v>
      </c>
      <c r="F571" s="339">
        <f t="shared" si="217"/>
        <v>5.7717051114344504E-3</v>
      </c>
      <c r="G571" s="338">
        <f t="shared" si="218"/>
        <v>1</v>
      </c>
      <c r="H571" s="339">
        <f t="shared" si="219"/>
        <v>0</v>
      </c>
      <c r="I571" s="337">
        <f t="shared" si="220"/>
        <v>1061039.2850472559</v>
      </c>
      <c r="J571" s="340">
        <f t="shared" si="221"/>
        <v>1.5707953843227243</v>
      </c>
      <c r="K571" s="348">
        <f t="shared" si="237"/>
        <v>16.211474090134566</v>
      </c>
      <c r="L571" s="349">
        <f t="shared" si="238"/>
        <v>1.5090724360556442</v>
      </c>
      <c r="M571" s="337">
        <f t="shared" si="222"/>
        <v>1.0043809402330908</v>
      </c>
      <c r="N571" s="340">
        <f t="shared" si="223"/>
        <v>9.3434532513442692E-2</v>
      </c>
      <c r="O571" s="341">
        <f t="shared" si="224"/>
        <v>1.0022591418495301</v>
      </c>
      <c r="P571" s="342">
        <f t="shared" si="225"/>
        <v>0.14775984228788008</v>
      </c>
      <c r="Q571" s="343">
        <f t="shared" si="226"/>
        <v>-5.3851168295336125</v>
      </c>
      <c r="R571" s="344">
        <f t="shared" si="227"/>
        <v>-78.546470537639806</v>
      </c>
      <c r="S571" s="346">
        <f t="shared" si="228"/>
        <v>101.45352946236019</v>
      </c>
      <c r="U571" s="319">
        <f t="shared" si="234"/>
        <v>97724</v>
      </c>
      <c r="V571" s="319">
        <f t="shared" si="235"/>
        <v>9549980176</v>
      </c>
      <c r="X571" s="345">
        <f t="shared" si="229"/>
        <v>1.3510759981115168</v>
      </c>
      <c r="Y571" s="346">
        <f t="shared" si="230"/>
        <v>-8.8898688187642936</v>
      </c>
      <c r="AA571" s="345">
        <f t="shared" si="231"/>
        <v>26.487436041287253</v>
      </c>
      <c r="AB571" s="346">
        <f t="shared" si="232"/>
        <v>-69.656601718875535</v>
      </c>
      <c r="AD571">
        <f t="shared" si="236"/>
        <v>0</v>
      </c>
      <c r="AE571">
        <f t="shared" si="239"/>
        <v>0</v>
      </c>
    </row>
    <row r="572" spans="1:31" x14ac:dyDescent="0.2">
      <c r="A572" s="347">
        <v>98862</v>
      </c>
      <c r="B572" s="364">
        <f t="shared" si="233"/>
        <v>98.861999999999995</v>
      </c>
      <c r="C572" s="337">
        <f t="shared" si="214"/>
        <v>2.1160669748940433</v>
      </c>
      <c r="D572" s="338">
        <f t="shared" si="215"/>
        <v>1.0785861663747784</v>
      </c>
      <c r="E572" s="338">
        <f t="shared" si="216"/>
        <v>1.0000170467083058</v>
      </c>
      <c r="F572" s="339">
        <f t="shared" si="217"/>
        <v>5.8389153360555082E-3</v>
      </c>
      <c r="G572" s="338">
        <f t="shared" si="218"/>
        <v>1</v>
      </c>
      <c r="H572" s="339">
        <f t="shared" si="219"/>
        <v>0</v>
      </c>
      <c r="I572" s="337">
        <f t="shared" si="220"/>
        <v>1073395.1311688095</v>
      </c>
      <c r="J572" s="340">
        <f t="shared" si="221"/>
        <v>1.5707953951715168</v>
      </c>
      <c r="K572" s="348">
        <f t="shared" si="237"/>
        <v>16.399543170607398</v>
      </c>
      <c r="L572" s="349">
        <f t="shared" si="238"/>
        <v>1.5097811671566339</v>
      </c>
      <c r="M572" s="337">
        <f t="shared" si="222"/>
        <v>1.0044833377380438</v>
      </c>
      <c r="N572" s="340">
        <f t="shared" si="223"/>
        <v>9.4516150020838685E-2</v>
      </c>
      <c r="O572" s="341">
        <f t="shared" si="224"/>
        <v>1.0023129001191271</v>
      </c>
      <c r="P572" s="342">
        <f t="shared" si="225"/>
        <v>0.14948529080020576</v>
      </c>
      <c r="Q572" s="343">
        <f t="shared" si="226"/>
        <v>-5.46474493347662</v>
      </c>
      <c r="R572" s="344">
        <f t="shared" si="227"/>
        <v>-78.940000568640542</v>
      </c>
      <c r="S572" s="346">
        <f t="shared" si="228"/>
        <v>101.05999943135946</v>
      </c>
      <c r="U572" s="319">
        <f t="shared" si="234"/>
        <v>98862</v>
      </c>
      <c r="V572" s="319">
        <f t="shared" si="235"/>
        <v>9773695044</v>
      </c>
      <c r="X572" s="345">
        <f t="shared" si="229"/>
        <v>1.3498122459337669</v>
      </c>
      <c r="Y572" s="346">
        <f t="shared" si="230"/>
        <v>-8.9112342577036134</v>
      </c>
      <c r="AA572" s="345">
        <f t="shared" si="231"/>
        <v>26.409071689521994</v>
      </c>
      <c r="AB572" s="346">
        <f t="shared" si="232"/>
        <v>-70.028766310936959</v>
      </c>
      <c r="AD572">
        <f t="shared" si="236"/>
        <v>0</v>
      </c>
      <c r="AE572">
        <f t="shared" si="239"/>
        <v>0</v>
      </c>
    </row>
    <row r="573" spans="1:31" x14ac:dyDescent="0.2">
      <c r="A573" s="347">
        <v>100000</v>
      </c>
      <c r="B573" s="364">
        <f t="shared" si="233"/>
        <v>100</v>
      </c>
      <c r="C573" s="337">
        <f t="shared" si="214"/>
        <v>2.1350093059995929</v>
      </c>
      <c r="D573" s="338">
        <f t="shared" si="215"/>
        <v>1.0833377003934455</v>
      </c>
      <c r="E573" s="338">
        <f t="shared" si="216"/>
        <v>1.0000174414127563</v>
      </c>
      <c r="F573" s="339">
        <f t="shared" si="217"/>
        <v>5.906125507924743E-3</v>
      </c>
      <c r="G573" s="338">
        <f t="shared" si="218"/>
        <v>1</v>
      </c>
      <c r="H573" s="339">
        <f t="shared" si="219"/>
        <v>0</v>
      </c>
      <c r="I573" s="337">
        <f t="shared" si="220"/>
        <v>1085750.9772903633</v>
      </c>
      <c r="J573" s="340">
        <f t="shared" si="221"/>
        <v>1.5707954057733908</v>
      </c>
      <c r="K573" s="348">
        <f t="shared" si="237"/>
        <v>16.587620301772773</v>
      </c>
      <c r="L573" s="349">
        <f t="shared" si="238"/>
        <v>1.5104738268406883</v>
      </c>
      <c r="M573" s="337">
        <f t="shared" si="222"/>
        <v>1.0045869101441038</v>
      </c>
      <c r="N573" s="340">
        <f t="shared" si="223"/>
        <v>9.5597545764695493E-2</v>
      </c>
      <c r="O573" s="341">
        <f t="shared" si="224"/>
        <v>1.0023673196424754</v>
      </c>
      <c r="P573" s="342">
        <f t="shared" si="225"/>
        <v>0.15121090214943805</v>
      </c>
      <c r="Q573" s="343">
        <f t="shared" si="226"/>
        <v>-5.5438813563688214</v>
      </c>
      <c r="R573" s="344">
        <f t="shared" si="227"/>
        <v>-79.329536345784405</v>
      </c>
      <c r="S573" s="346">
        <f t="shared" si="228"/>
        <v>100.6704636542156</v>
      </c>
      <c r="U573" s="319">
        <f t="shared" si="234"/>
        <v>100000</v>
      </c>
      <c r="V573" s="319">
        <f t="shared" si="235"/>
        <v>10000000000</v>
      </c>
      <c r="X573" s="345">
        <f t="shared" si="229"/>
        <v>1.3485512345461736</v>
      </c>
      <c r="Y573" s="346">
        <f t="shared" si="230"/>
        <v>-8.9335078007429303</v>
      </c>
      <c r="AA573" s="345">
        <f t="shared" si="231"/>
        <v>26.331196278017384</v>
      </c>
      <c r="AB573" s="346">
        <f t="shared" si="232"/>
        <v>-70.396028545041503</v>
      </c>
      <c r="AD573">
        <f t="shared" si="236"/>
        <v>0</v>
      </c>
      <c r="AE573">
        <f t="shared" si="239"/>
        <v>0</v>
      </c>
    </row>
    <row r="574" spans="1:31" x14ac:dyDescent="0.2">
      <c r="A574" s="347">
        <v>101165</v>
      </c>
      <c r="B574" s="364">
        <f t="shared" si="233"/>
        <v>101.16500000000001</v>
      </c>
      <c r="C574" s="337">
        <f t="shared" si="214"/>
        <v>2.1544501019183095</v>
      </c>
      <c r="D574" s="338">
        <f t="shared" si="215"/>
        <v>1.0881153081754211</v>
      </c>
      <c r="E574" s="338">
        <f t="shared" si="216"/>
        <v>1.0000178501612176</v>
      </c>
      <c r="F574" s="339">
        <f t="shared" si="217"/>
        <v>5.9749302419505514E-3</v>
      </c>
      <c r="G574" s="338">
        <f t="shared" si="218"/>
        <v>1</v>
      </c>
      <c r="H574" s="339">
        <f t="shared" si="219"/>
        <v>0</v>
      </c>
      <c r="I574" s="337">
        <f t="shared" si="220"/>
        <v>1098399.9761757853</v>
      </c>
      <c r="J574" s="340">
        <f t="shared" si="221"/>
        <v>1.5707954163797275</v>
      </c>
      <c r="K574" s="348">
        <f t="shared" si="237"/>
        <v>16.780167776722351</v>
      </c>
      <c r="L574" s="349">
        <f t="shared" si="238"/>
        <v>1.5111668360810495</v>
      </c>
      <c r="M574" s="337">
        <f t="shared" si="222"/>
        <v>1.0046941565576235</v>
      </c>
      <c r="N574" s="340">
        <f t="shared" si="223"/>
        <v>9.6704366238467981E-2</v>
      </c>
      <c r="O574" s="341">
        <f t="shared" si="224"/>
        <v>1.0024237166819336</v>
      </c>
      <c r="P574" s="342">
        <f t="shared" si="225"/>
        <v>0.15297762551403296</v>
      </c>
      <c r="Q574" s="343">
        <f t="shared" si="226"/>
        <v>-5.6243885291716991</v>
      </c>
      <c r="R574" s="344">
        <f t="shared" si="227"/>
        <v>-79.724266924687683</v>
      </c>
      <c r="S574" s="346">
        <f t="shared" si="228"/>
        <v>100.27573307531232</v>
      </c>
      <c r="U574" s="319">
        <f t="shared" si="234"/>
        <v>101165</v>
      </c>
      <c r="V574" s="319">
        <f t="shared" si="235"/>
        <v>10234357225</v>
      </c>
      <c r="X574" s="345">
        <f t="shared" si="229"/>
        <v>1.3472625537361469</v>
      </c>
      <c r="Y574" s="346">
        <f t="shared" si="230"/>
        <v>-8.9572180456579122</v>
      </c>
      <c r="AA574" s="345">
        <f t="shared" si="231"/>
        <v>26.251977786024533</v>
      </c>
      <c r="AB574" s="346">
        <f t="shared" si="232"/>
        <v>-70.767048879029758</v>
      </c>
      <c r="AD574">
        <f t="shared" si="236"/>
        <v>0</v>
      </c>
      <c r="AE574">
        <f t="shared" si="239"/>
        <v>0</v>
      </c>
    </row>
    <row r="575" spans="1:31" x14ac:dyDescent="0.2">
      <c r="A575" s="347">
        <v>102330</v>
      </c>
      <c r="B575" s="364">
        <f t="shared" si="233"/>
        <v>102.33</v>
      </c>
      <c r="C575" s="337">
        <f t="shared" si="214"/>
        <v>2.1739391941308339</v>
      </c>
      <c r="D575" s="338">
        <f t="shared" si="215"/>
        <v>1.0928073601542094</v>
      </c>
      <c r="E575" s="338">
        <f t="shared" si="216"/>
        <v>1.000018263643851</v>
      </c>
      <c r="F575" s="339">
        <f t="shared" si="217"/>
        <v>6.0437349194040011E-3</v>
      </c>
      <c r="G575" s="338">
        <f t="shared" si="218"/>
        <v>1</v>
      </c>
      <c r="H575" s="339">
        <f t="shared" si="219"/>
        <v>0</v>
      </c>
      <c r="I575" s="337">
        <f t="shared" si="220"/>
        <v>1111048.9750612075</v>
      </c>
      <c r="J575" s="340">
        <f t="shared" si="221"/>
        <v>1.5707954267445636</v>
      </c>
      <c r="K575" s="348">
        <f t="shared" si="237"/>
        <v>16.972723127695222</v>
      </c>
      <c r="L575" s="349">
        <f t="shared" si="238"/>
        <v>1.511844121276652</v>
      </c>
      <c r="M575" s="337">
        <f t="shared" si="222"/>
        <v>1.0048026335096725</v>
      </c>
      <c r="N575" s="340">
        <f t="shared" si="223"/>
        <v>9.7810949086335461E-2</v>
      </c>
      <c r="O575" s="341">
        <f t="shared" si="224"/>
        <v>1.0024808095736506</v>
      </c>
      <c r="P575" s="342">
        <f t="shared" si="225"/>
        <v>0.15474452311820311</v>
      </c>
      <c r="Q575" s="343">
        <f t="shared" si="226"/>
        <v>-5.7043856495358378</v>
      </c>
      <c r="R575" s="344">
        <f t="shared" si="227"/>
        <v>-80.114992796187593</v>
      </c>
      <c r="S575" s="346">
        <f t="shared" si="228"/>
        <v>99.885007203812407</v>
      </c>
      <c r="U575" s="319">
        <f t="shared" si="234"/>
        <v>102330</v>
      </c>
      <c r="V575" s="319">
        <f t="shared" si="235"/>
        <v>10471428900</v>
      </c>
      <c r="X575" s="345">
        <f t="shared" si="229"/>
        <v>1.3459755808224541</v>
      </c>
      <c r="Y575" s="346">
        <f t="shared" si="230"/>
        <v>-8.9818155831770454</v>
      </c>
      <c r="AA575" s="345">
        <f t="shared" si="231"/>
        <v>26.173267638574089</v>
      </c>
      <c r="AB575" s="346">
        <f t="shared" si="232"/>
        <v>-71.133177213010583</v>
      </c>
      <c r="AD575">
        <f t="shared" si="236"/>
        <v>0</v>
      </c>
      <c r="AE575">
        <f t="shared" si="239"/>
        <v>0</v>
      </c>
    </row>
    <row r="576" spans="1:31" x14ac:dyDescent="0.2">
      <c r="A576" s="347">
        <v>103520</v>
      </c>
      <c r="B576" s="364">
        <f t="shared" si="233"/>
        <v>103.52</v>
      </c>
      <c r="C576" s="337">
        <f t="shared" si="214"/>
        <v>2.1938950308773326</v>
      </c>
      <c r="D576" s="338">
        <f t="shared" si="215"/>
        <v>1.0975139294373448</v>
      </c>
      <c r="E576" s="338">
        <f t="shared" si="216"/>
        <v>1.0000186908871456</v>
      </c>
      <c r="F576" s="339">
        <f t="shared" si="217"/>
        <v>6.1140160329980781E-3</v>
      </c>
      <c r="G576" s="338">
        <f t="shared" si="218"/>
        <v>1</v>
      </c>
      <c r="H576" s="339">
        <f t="shared" si="219"/>
        <v>0</v>
      </c>
      <c r="I576" s="337">
        <f t="shared" si="220"/>
        <v>1123969.411690952</v>
      </c>
      <c r="J576" s="340">
        <f t="shared" si="221"/>
        <v>1.5707954370909691</v>
      </c>
      <c r="K576" s="348">
        <f t="shared" si="237"/>
        <v>17.169418423564611</v>
      </c>
      <c r="L576" s="349">
        <f t="shared" si="238"/>
        <v>1.5125202561445001</v>
      </c>
      <c r="M576" s="337">
        <f t="shared" si="222"/>
        <v>1.0049147083103955</v>
      </c>
      <c r="N576" s="340">
        <f t="shared" si="223"/>
        <v>9.8941030280272194E-2</v>
      </c>
      <c r="O576" s="341">
        <f t="shared" si="224"/>
        <v>1.0025398475696625</v>
      </c>
      <c r="P576" s="342">
        <f t="shared" si="225"/>
        <v>0.15654951874281747</v>
      </c>
      <c r="Q576" s="343">
        <f t="shared" si="226"/>
        <v>-5.7855758789697393</v>
      </c>
      <c r="R576" s="344">
        <f t="shared" si="227"/>
        <v>-80.510060974105926</v>
      </c>
      <c r="S576" s="346">
        <f t="shared" si="228"/>
        <v>99.489939025894074</v>
      </c>
      <c r="U576" s="319">
        <f t="shared" si="234"/>
        <v>103520</v>
      </c>
      <c r="V576" s="319">
        <f t="shared" si="235"/>
        <v>10716390400</v>
      </c>
      <c r="X576" s="345">
        <f t="shared" si="229"/>
        <v>1.3446621925629756</v>
      </c>
      <c r="Y576" s="346">
        <f t="shared" si="230"/>
        <v>-9.0078253846224836</v>
      </c>
      <c r="AA576" s="345">
        <f t="shared" si="231"/>
        <v>26.093390797399664</v>
      </c>
      <c r="AB576" s="346">
        <f t="shared" si="232"/>
        <v>-71.502235589483419</v>
      </c>
      <c r="AD576">
        <f t="shared" si="236"/>
        <v>0</v>
      </c>
      <c r="AE576">
        <f t="shared" si="239"/>
        <v>0</v>
      </c>
    </row>
    <row r="577" spans="1:31" x14ac:dyDescent="0.2">
      <c r="A577" s="347">
        <v>104710</v>
      </c>
      <c r="B577" s="364">
        <f t="shared" si="233"/>
        <v>104.71</v>
      </c>
      <c r="C577" s="337">
        <f t="shared" si="214"/>
        <v>2.2138985895873855</v>
      </c>
      <c r="D577" s="338">
        <f t="shared" si="215"/>
        <v>1.102135547668313</v>
      </c>
      <c r="E577" s="338">
        <f t="shared" si="216"/>
        <v>1.0000191230699633</v>
      </c>
      <c r="F577" s="339">
        <f t="shared" si="217"/>
        <v>6.1842970861918879E-3</v>
      </c>
      <c r="G577" s="338">
        <f t="shared" si="218"/>
        <v>1</v>
      </c>
      <c r="H577" s="339">
        <f t="shared" si="219"/>
        <v>0</v>
      </c>
      <c r="I577" s="337">
        <f t="shared" si="220"/>
        <v>1136889.848320697</v>
      </c>
      <c r="J577" s="340">
        <f t="shared" si="221"/>
        <v>1.5707954472022065</v>
      </c>
      <c r="K577" s="348">
        <f t="shared" si="237"/>
        <v>17.366121390770335</v>
      </c>
      <c r="L577" s="349">
        <f t="shared" si="238"/>
        <v>1.5131810743900698</v>
      </c>
      <c r="M577" s="337">
        <f t="shared" si="222"/>
        <v>1.0050280661839353</v>
      </c>
      <c r="N577" s="340">
        <f t="shared" si="223"/>
        <v>0.10007085799140314</v>
      </c>
      <c r="O577" s="341">
        <f t="shared" si="224"/>
        <v>1.0025996147116285</v>
      </c>
      <c r="P577" s="342">
        <f t="shared" si="225"/>
        <v>0.15835469996029222</v>
      </c>
      <c r="Q577" s="343">
        <f t="shared" si="226"/>
        <v>-5.866240219880928</v>
      </c>
      <c r="R577" s="344">
        <f t="shared" si="227"/>
        <v>-80.901135493257385</v>
      </c>
      <c r="S577" s="346">
        <f t="shared" si="228"/>
        <v>99.098864506742615</v>
      </c>
      <c r="U577" s="319">
        <f t="shared" si="234"/>
        <v>104710</v>
      </c>
      <c r="V577" s="319">
        <f t="shared" si="235"/>
        <v>10964184100</v>
      </c>
      <c r="X577" s="345">
        <f t="shared" si="229"/>
        <v>1.3433494803199173</v>
      </c>
      <c r="Y577" s="346">
        <f t="shared" si="230"/>
        <v>-9.0346982269127665</v>
      </c>
      <c r="AA577" s="345">
        <f t="shared" si="231"/>
        <v>26.014039168731532</v>
      </c>
      <c r="AB577" s="346">
        <f t="shared" si="232"/>
        <v>-71.866437266344633</v>
      </c>
      <c r="AD577">
        <f t="shared" si="236"/>
        <v>0</v>
      </c>
      <c r="AE577">
        <f t="shared" si="239"/>
        <v>0</v>
      </c>
    </row>
    <row r="578" spans="1:31" x14ac:dyDescent="0.2">
      <c r="A578" s="347">
        <v>105930</v>
      </c>
      <c r="B578" s="364">
        <f t="shared" si="233"/>
        <v>105.93</v>
      </c>
      <c r="C578" s="337">
        <f t="shared" si="214"/>
        <v>2.234454639692208</v>
      </c>
      <c r="D578" s="338">
        <f t="shared" si="215"/>
        <v>1.1067876714229623</v>
      </c>
      <c r="E578" s="338">
        <f t="shared" si="216"/>
        <v>1.0000195712760209</v>
      </c>
      <c r="F578" s="339">
        <f t="shared" si="217"/>
        <v>6.2563498672124299E-3</v>
      </c>
      <c r="G578" s="338">
        <f t="shared" si="218"/>
        <v>1</v>
      </c>
      <c r="H578" s="339">
        <f t="shared" si="219"/>
        <v>0</v>
      </c>
      <c r="I578" s="337">
        <f t="shared" si="220"/>
        <v>1150136.0102436286</v>
      </c>
      <c r="J578" s="340">
        <f t="shared" si="221"/>
        <v>1.5707954573325102</v>
      </c>
      <c r="K578" s="348">
        <f t="shared" si="237"/>
        <v>17.567790950418214</v>
      </c>
      <c r="L578" s="349">
        <f t="shared" si="238"/>
        <v>1.5138431892345228</v>
      </c>
      <c r="M578" s="337">
        <f t="shared" si="222"/>
        <v>1.0051456133646179</v>
      </c>
      <c r="N578" s="340">
        <f t="shared" si="223"/>
        <v>0.1012289026759251</v>
      </c>
      <c r="O578" s="341">
        <f t="shared" si="224"/>
        <v>1.0026616472107599</v>
      </c>
      <c r="P578" s="342">
        <f t="shared" si="225"/>
        <v>0.16020558461351678</v>
      </c>
      <c r="Q578" s="343">
        <f t="shared" si="226"/>
        <v>-5.9483957434665315</v>
      </c>
      <c r="R578" s="344">
        <f t="shared" si="227"/>
        <v>-81.29801737655967</v>
      </c>
      <c r="S578" s="346">
        <f t="shared" si="228"/>
        <v>98.70198262344033</v>
      </c>
      <c r="U578" s="319">
        <f t="shared" si="234"/>
        <v>105930</v>
      </c>
      <c r="V578" s="319">
        <f t="shared" si="235"/>
        <v>11221164900</v>
      </c>
      <c r="X578" s="345">
        <f t="shared" si="229"/>
        <v>1.3420038403863266</v>
      </c>
      <c r="Y578" s="346">
        <f t="shared" si="230"/>
        <v>-9.06311349413944</v>
      </c>
      <c r="AA578" s="345">
        <f t="shared" si="231"/>
        <v>25.933229285079523</v>
      </c>
      <c r="AB578" s="346">
        <f t="shared" si="232"/>
        <v>-72.234903882420269</v>
      </c>
      <c r="AD578">
        <f t="shared" si="236"/>
        <v>0</v>
      </c>
      <c r="AE578">
        <f t="shared" si="239"/>
        <v>0</v>
      </c>
    </row>
    <row r="579" spans="1:31" x14ac:dyDescent="0.2">
      <c r="A579" s="347">
        <v>107150</v>
      </c>
      <c r="B579" s="364">
        <f t="shared" si="233"/>
        <v>107.15</v>
      </c>
      <c r="C579" s="337">
        <f t="shared" si="214"/>
        <v>2.2550581662019002</v>
      </c>
      <c r="D579" s="338">
        <f t="shared" si="215"/>
        <v>1.1113548834929636</v>
      </c>
      <c r="E579" s="338">
        <f t="shared" si="216"/>
        <v>1.0000200246737785</v>
      </c>
      <c r="F579" s="339">
        <f t="shared" si="217"/>
        <v>6.3284025832712112E-3</v>
      </c>
      <c r="G579" s="338">
        <f t="shared" si="218"/>
        <v>1</v>
      </c>
      <c r="H579" s="339">
        <f t="shared" si="219"/>
        <v>0</v>
      </c>
      <c r="I579" s="337">
        <f t="shared" si="220"/>
        <v>1163382.1721665605</v>
      </c>
      <c r="J579" s="340">
        <f t="shared" si="221"/>
        <v>1.5707954672321287</v>
      </c>
      <c r="K579" s="348">
        <f t="shared" si="237"/>
        <v>17.769468036899191</v>
      </c>
      <c r="L579" s="349">
        <f t="shared" si="238"/>
        <v>1.514490274825482</v>
      </c>
      <c r="M579" s="337">
        <f t="shared" si="222"/>
        <v>1.0052645081971125</v>
      </c>
      <c r="N579" s="340">
        <f t="shared" si="223"/>
        <v>0.10238667498383705</v>
      </c>
      <c r="O579" s="341">
        <f t="shared" si="224"/>
        <v>1.0027244495020526</v>
      </c>
      <c r="P579" s="342">
        <f t="shared" si="225"/>
        <v>0.16205666838430363</v>
      </c>
      <c r="Q579" s="343">
        <f t="shared" si="226"/>
        <v>-6.0300059354054429</v>
      </c>
      <c r="R579" s="344">
        <f t="shared" si="227"/>
        <v>-81.690891084560675</v>
      </c>
      <c r="S579" s="346">
        <f t="shared" si="228"/>
        <v>98.309108915439325</v>
      </c>
      <c r="U579" s="319">
        <f t="shared" si="234"/>
        <v>107150</v>
      </c>
      <c r="V579" s="319">
        <f t="shared" si="235"/>
        <v>11481122500</v>
      </c>
      <c r="X579" s="345">
        <f t="shared" si="229"/>
        <v>1.3406578523426116</v>
      </c>
      <c r="Y579" s="346">
        <f t="shared" si="230"/>
        <v>-9.0923742549140094</v>
      </c>
      <c r="AA579" s="345">
        <f t="shared" si="231"/>
        <v>25.852965081184326</v>
      </c>
      <c r="AB579" s="346">
        <f t="shared" si="232"/>
        <v>-72.598516829646655</v>
      </c>
      <c r="AD579">
        <f t="shared" si="236"/>
        <v>0</v>
      </c>
      <c r="AE579">
        <f t="shared" si="239"/>
        <v>0</v>
      </c>
    </row>
    <row r="580" spans="1:31" x14ac:dyDescent="0.2">
      <c r="A580" s="347">
        <v>108400</v>
      </c>
      <c r="B580" s="364">
        <f t="shared" si="233"/>
        <v>108.4</v>
      </c>
      <c r="C580" s="337">
        <f t="shared" si="214"/>
        <v>2.2762162306014488</v>
      </c>
      <c r="D580" s="338">
        <f t="shared" si="215"/>
        <v>1.1159485493830748</v>
      </c>
      <c r="E580" s="338">
        <f t="shared" si="216"/>
        <v>1.0000204946054212</v>
      </c>
      <c r="F580" s="339">
        <f t="shared" si="217"/>
        <v>6.4022270192700412E-3</v>
      </c>
      <c r="G580" s="338">
        <f t="shared" si="218"/>
        <v>1</v>
      </c>
      <c r="H580" s="339">
        <f t="shared" si="219"/>
        <v>0</v>
      </c>
      <c r="I580" s="337">
        <f t="shared" si="220"/>
        <v>1176954.0593826794</v>
      </c>
      <c r="J580" s="340">
        <f t="shared" si="221"/>
        <v>1.5707954771440611</v>
      </c>
      <c r="K580" s="348">
        <f t="shared" si="237"/>
        <v>17.976111937827209</v>
      </c>
      <c r="L580" s="349">
        <f t="shared" si="238"/>
        <v>1.5151382126042598</v>
      </c>
      <c r="M580" s="337">
        <f t="shared" si="222"/>
        <v>1.0053877239407656</v>
      </c>
      <c r="N580" s="340">
        <f t="shared" si="223"/>
        <v>0.10357263145296478</v>
      </c>
      <c r="O580" s="341">
        <f t="shared" si="224"/>
        <v>1.0027895963713771</v>
      </c>
      <c r="P580" s="342">
        <f t="shared" si="225"/>
        <v>0.1639534792606635</v>
      </c>
      <c r="Q580" s="343">
        <f t="shared" si="226"/>
        <v>-6.1130614639869929</v>
      </c>
      <c r="R580" s="344">
        <f t="shared" si="227"/>
        <v>-82.089364950322931</v>
      </c>
      <c r="S580" s="346">
        <f t="shared" si="228"/>
        <v>97.910635049677069</v>
      </c>
      <c r="U580" s="319">
        <f t="shared" si="234"/>
        <v>108400</v>
      </c>
      <c r="V580" s="319">
        <f t="shared" si="235"/>
        <v>11750560000</v>
      </c>
      <c r="X580" s="345">
        <f t="shared" si="229"/>
        <v>1.3392778919828017</v>
      </c>
      <c r="Y580" s="346">
        <f t="shared" si="230"/>
        <v>-9.1232010231173302</v>
      </c>
      <c r="AA580" s="345">
        <f t="shared" si="231"/>
        <v>25.771289512962589</v>
      </c>
      <c r="AB580" s="346">
        <f t="shared" si="232"/>
        <v>-72.966163927205599</v>
      </c>
      <c r="AD580">
        <f t="shared" si="236"/>
        <v>0</v>
      </c>
      <c r="AE580">
        <f t="shared" si="239"/>
        <v>0</v>
      </c>
    </row>
    <row r="581" spans="1:31" x14ac:dyDescent="0.2">
      <c r="A581" s="347">
        <v>109650</v>
      </c>
      <c r="B581" s="364">
        <f t="shared" si="233"/>
        <v>109.65</v>
      </c>
      <c r="C581" s="337">
        <f t="shared" si="214"/>
        <v>2.2974214418959531</v>
      </c>
      <c r="D581" s="338">
        <f t="shared" si="215"/>
        <v>1.1204575098455254</v>
      </c>
      <c r="E581" s="338">
        <f t="shared" si="216"/>
        <v>1.0000209699872176</v>
      </c>
      <c r="F581" s="339">
        <f t="shared" si="217"/>
        <v>6.4760513854831012E-3</v>
      </c>
      <c r="G581" s="338">
        <f t="shared" si="218"/>
        <v>1</v>
      </c>
      <c r="H581" s="339">
        <f t="shared" si="219"/>
        <v>0</v>
      </c>
      <c r="I581" s="337">
        <f t="shared" si="220"/>
        <v>1190525.9465987985</v>
      </c>
      <c r="J581" s="340">
        <f t="shared" si="221"/>
        <v>1.5707954868300031</v>
      </c>
      <c r="K581" s="348">
        <f t="shared" si="237"/>
        <v>18.182763214009288</v>
      </c>
      <c r="L581" s="349">
        <f t="shared" si="238"/>
        <v>1.5157714227207955</v>
      </c>
      <c r="M581" s="337">
        <f t="shared" si="222"/>
        <v>1.005512353407239</v>
      </c>
      <c r="N581" s="340">
        <f t="shared" si="223"/>
        <v>0.10475829559970874</v>
      </c>
      <c r="O581" s="341">
        <f t="shared" si="224"/>
        <v>1.0028555551190192</v>
      </c>
      <c r="P581" s="342">
        <f t="shared" si="225"/>
        <v>0.16585050348729996</v>
      </c>
      <c r="Q581" s="343">
        <f t="shared" si="226"/>
        <v>-6.1955530572989197</v>
      </c>
      <c r="R581" s="344">
        <f t="shared" si="227"/>
        <v>-82.48382485174406</v>
      </c>
      <c r="S581" s="346">
        <f t="shared" si="228"/>
        <v>97.51617514825594</v>
      </c>
      <c r="U581" s="319">
        <f t="shared" si="234"/>
        <v>109650</v>
      </c>
      <c r="V581" s="319">
        <f t="shared" si="235"/>
        <v>12023122500</v>
      </c>
      <c r="X581" s="345">
        <f t="shared" si="229"/>
        <v>1.3378965529218623</v>
      </c>
      <c r="Y581" s="346">
        <f t="shared" si="230"/>
        <v>-9.1548548624230364</v>
      </c>
      <c r="AA581" s="345">
        <f t="shared" si="231"/>
        <v>25.690179258711598</v>
      </c>
      <c r="AB581" s="346">
        <f t="shared" si="232"/>
        <v>-73.328969989321038</v>
      </c>
      <c r="AD581">
        <f t="shared" si="236"/>
        <v>0</v>
      </c>
      <c r="AE581">
        <f t="shared" si="239"/>
        <v>0</v>
      </c>
    </row>
    <row r="582" spans="1:31" x14ac:dyDescent="0.2">
      <c r="A582" s="347">
        <v>110925</v>
      </c>
      <c r="B582" s="364">
        <f t="shared" si="233"/>
        <v>110.925</v>
      </c>
      <c r="C582" s="337">
        <f t="shared" si="214"/>
        <v>2.3190979868973542</v>
      </c>
      <c r="D582" s="338">
        <f t="shared" si="215"/>
        <v>1.124971608218065</v>
      </c>
      <c r="E582" s="338">
        <f t="shared" si="216"/>
        <v>1.0000214604913904</v>
      </c>
      <c r="F582" s="339">
        <f t="shared" si="217"/>
        <v>6.5513521662927095E-3</v>
      </c>
      <c r="G582" s="338">
        <f t="shared" si="218"/>
        <v>1</v>
      </c>
      <c r="H582" s="339">
        <f t="shared" si="219"/>
        <v>0</v>
      </c>
      <c r="I582" s="337">
        <f t="shared" si="220"/>
        <v>1204369.2715592398</v>
      </c>
      <c r="J582" s="340">
        <f t="shared" si="221"/>
        <v>1.5707954964847719</v>
      </c>
      <c r="K582" s="348">
        <f t="shared" si="237"/>
        <v>18.393554855904686</v>
      </c>
      <c r="L582" s="349">
        <f t="shared" si="238"/>
        <v>1.5164026388799223</v>
      </c>
      <c r="M582" s="337">
        <f t="shared" si="222"/>
        <v>1.0056409313351673</v>
      </c>
      <c r="N582" s="340">
        <f t="shared" si="223"/>
        <v>0.10596736853507138</v>
      </c>
      <c r="O582" s="341">
        <f t="shared" si="224"/>
        <v>1.0029236714464504</v>
      </c>
      <c r="P582" s="342">
        <f t="shared" si="225"/>
        <v>0.16778569024394244</v>
      </c>
      <c r="Q582" s="343">
        <f t="shared" si="226"/>
        <v>-6.2791181935934235</v>
      </c>
      <c r="R582" s="344">
        <f t="shared" si="227"/>
        <v>-82.882136561662236</v>
      </c>
      <c r="S582" s="346">
        <f t="shared" si="228"/>
        <v>97.117863438337764</v>
      </c>
      <c r="U582" s="319">
        <f t="shared" si="234"/>
        <v>110925</v>
      </c>
      <c r="V582" s="319">
        <f t="shared" si="235"/>
        <v>12304355625</v>
      </c>
      <c r="X582" s="345">
        <f t="shared" si="229"/>
        <v>1.336485679898205</v>
      </c>
      <c r="Y582" s="346">
        <f t="shared" si="230"/>
        <v>-9.1879641700797166</v>
      </c>
      <c r="AA582" s="345">
        <f t="shared" si="231"/>
        <v>25.608024995440747</v>
      </c>
      <c r="AB582" s="346">
        <f t="shared" si="232"/>
        <v>-73.694172391582541</v>
      </c>
      <c r="AD582">
        <f t="shared" si="236"/>
        <v>0</v>
      </c>
      <c r="AE582">
        <f t="shared" si="239"/>
        <v>0</v>
      </c>
    </row>
    <row r="583" spans="1:31" x14ac:dyDescent="0.2">
      <c r="A583" s="347">
        <v>112200</v>
      </c>
      <c r="B583" s="364">
        <f t="shared" si="233"/>
        <v>112.2</v>
      </c>
      <c r="C583" s="337">
        <f t="shared" si="214"/>
        <v>2.3408209125864294</v>
      </c>
      <c r="D583" s="338">
        <f t="shared" si="215"/>
        <v>1.1294020133986651</v>
      </c>
      <c r="E583" s="338">
        <f t="shared" si="216"/>
        <v>1.0000219566658868</v>
      </c>
      <c r="F583" s="339">
        <f t="shared" si="217"/>
        <v>6.6266528728062745E-3</v>
      </c>
      <c r="G583" s="338">
        <f t="shared" si="218"/>
        <v>1</v>
      </c>
      <c r="H583" s="339">
        <f t="shared" si="219"/>
        <v>0</v>
      </c>
      <c r="I583" s="337">
        <f t="shared" si="220"/>
        <v>1218212.5965196814</v>
      </c>
      <c r="J583" s="340">
        <f t="shared" si="221"/>
        <v>1.5707955059201142</v>
      </c>
      <c r="K583" s="348">
        <f t="shared" si="237"/>
        <v>18.604353660343275</v>
      </c>
      <c r="L583" s="349">
        <f t="shared" si="238"/>
        <v>1.5170195511432367</v>
      </c>
      <c r="M583" s="337">
        <f t="shared" si="222"/>
        <v>1.0057709789895657</v>
      </c>
      <c r="N583" s="340">
        <f t="shared" si="223"/>
        <v>0.10717613056730516</v>
      </c>
      <c r="O583" s="341">
        <f t="shared" si="224"/>
        <v>1.0029926365437898</v>
      </c>
      <c r="P583" s="342">
        <f t="shared" si="225"/>
        <v>0.16972110352337114</v>
      </c>
      <c r="Q583" s="343">
        <f t="shared" si="226"/>
        <v>-6.3621062026494055</v>
      </c>
      <c r="R583" s="344">
        <f t="shared" si="227"/>
        <v>-83.27646771481156</v>
      </c>
      <c r="S583" s="346">
        <f t="shared" si="228"/>
        <v>96.72353228518844</v>
      </c>
      <c r="U583" s="319">
        <f t="shared" si="234"/>
        <v>112200</v>
      </c>
      <c r="V583" s="319">
        <f t="shared" si="235"/>
        <v>12588840000</v>
      </c>
      <c r="X583" s="345">
        <f t="shared" si="229"/>
        <v>1.3350724141298791</v>
      </c>
      <c r="Y583" s="346">
        <f t="shared" si="230"/>
        <v>-9.2218752045886223</v>
      </c>
      <c r="AA583" s="345">
        <f t="shared" si="231"/>
        <v>25.526450252153094</v>
      </c>
      <c r="AB583" s="346">
        <f t="shared" si="232"/>
        <v>-74.054592510222918</v>
      </c>
      <c r="AD583">
        <f t="shared" si="236"/>
        <v>0</v>
      </c>
      <c r="AE583">
        <f t="shared" si="239"/>
        <v>0</v>
      </c>
    </row>
    <row r="584" spans="1:31" x14ac:dyDescent="0.2">
      <c r="A584" s="347">
        <v>113510</v>
      </c>
      <c r="B584" s="364">
        <f t="shared" si="233"/>
        <v>113.51</v>
      </c>
      <c r="C584" s="337">
        <f t="shared" si="214"/>
        <v>2.3631871174580108</v>
      </c>
      <c r="D584" s="338">
        <f t="shared" si="215"/>
        <v>1.1338691123137397</v>
      </c>
      <c r="E584" s="338">
        <f t="shared" si="216"/>
        <v>1.000022472366795</v>
      </c>
      <c r="F584" s="339">
        <f t="shared" si="217"/>
        <v>6.7040205792571299E-3</v>
      </c>
      <c r="G584" s="338">
        <f t="shared" si="218"/>
        <v>1</v>
      </c>
      <c r="H584" s="339">
        <f t="shared" si="219"/>
        <v>0</v>
      </c>
      <c r="I584" s="337">
        <f t="shared" si="220"/>
        <v>1232435.9343221744</v>
      </c>
      <c r="J584" s="340">
        <f t="shared" si="221"/>
        <v>1.5707955153936934</v>
      </c>
      <c r="K584" s="348">
        <f t="shared" si="237"/>
        <v>18.820946305838877</v>
      </c>
      <c r="L584" s="349">
        <f t="shared" si="238"/>
        <v>1.5176390046712502</v>
      </c>
      <c r="M584" s="337">
        <f t="shared" si="222"/>
        <v>1.0059061267787517</v>
      </c>
      <c r="N584" s="340">
        <f t="shared" si="223"/>
        <v>0.10841774689503202</v>
      </c>
      <c r="O584" s="341">
        <f t="shared" si="224"/>
        <v>1.0030643810479893</v>
      </c>
      <c r="P584" s="342">
        <f t="shared" si="225"/>
        <v>0.17170988412993532</v>
      </c>
      <c r="Q584" s="343">
        <f t="shared" si="226"/>
        <v>-6.446776460864446</v>
      </c>
      <c r="R584" s="344">
        <f t="shared" si="227"/>
        <v>-83.677577367244169</v>
      </c>
      <c r="S584" s="346">
        <f t="shared" si="228"/>
        <v>96.322422632755831</v>
      </c>
      <c r="U584" s="319">
        <f t="shared" si="234"/>
        <v>113510</v>
      </c>
      <c r="V584" s="319">
        <f t="shared" si="235"/>
        <v>12884520100</v>
      </c>
      <c r="X584" s="345">
        <f t="shared" si="229"/>
        <v>1.3336173951377972</v>
      </c>
      <c r="Y584" s="346">
        <f t="shared" si="230"/>
        <v>-9.2575230500190848</v>
      </c>
      <c r="AA584" s="345">
        <f t="shared" si="231"/>
        <v>25.443235012930138</v>
      </c>
      <c r="AB584" s="346">
        <f t="shared" si="232"/>
        <v>-74.420054317225109</v>
      </c>
      <c r="AD584">
        <f t="shared" si="236"/>
        <v>0</v>
      </c>
      <c r="AE584">
        <f t="shared" si="239"/>
        <v>0</v>
      </c>
    </row>
    <row r="585" spans="1:31" x14ac:dyDescent="0.2">
      <c r="A585" s="347">
        <v>114820</v>
      </c>
      <c r="B585" s="364">
        <f t="shared" si="233"/>
        <v>114.82</v>
      </c>
      <c r="C585" s="337">
        <f t="shared" si="214"/>
        <v>2.3855995948733661</v>
      </c>
      <c r="D585" s="338">
        <f t="shared" si="215"/>
        <v>1.1382523614089153</v>
      </c>
      <c r="E585" s="338">
        <f t="shared" si="216"/>
        <v>1.0000229940535932</v>
      </c>
      <c r="F585" s="339">
        <f t="shared" si="217"/>
        <v>6.7813882054495213E-3</v>
      </c>
      <c r="G585" s="338">
        <f t="shared" si="218"/>
        <v>1</v>
      </c>
      <c r="H585" s="339">
        <f t="shared" si="219"/>
        <v>0</v>
      </c>
      <c r="I585" s="337">
        <f t="shared" si="220"/>
        <v>1246659.2721246672</v>
      </c>
      <c r="J585" s="340">
        <f t="shared" si="221"/>
        <v>1.5707955246511014</v>
      </c>
      <c r="K585" s="348">
        <f t="shared" si="237"/>
        <v>19.037546009024901</v>
      </c>
      <c r="L585" s="349">
        <f t="shared" si="238"/>
        <v>1.5182443627606117</v>
      </c>
      <c r="M585" s="337">
        <f t="shared" si="222"/>
        <v>1.0060428248659652</v>
      </c>
      <c r="N585" s="340">
        <f t="shared" si="223"/>
        <v>0.10965902772168101</v>
      </c>
      <c r="O585" s="341">
        <f t="shared" si="224"/>
        <v>1.0031370260828061</v>
      </c>
      <c r="P585" s="342">
        <f t="shared" si="225"/>
        <v>0.17369890874083932</v>
      </c>
      <c r="Q585" s="343">
        <f t="shared" si="226"/>
        <v>-6.5308482689143048</v>
      </c>
      <c r="R585" s="344">
        <f t="shared" si="227"/>
        <v>-84.074685137860129</v>
      </c>
      <c r="S585" s="346">
        <f t="shared" si="228"/>
        <v>95.925314862139871</v>
      </c>
      <c r="U585" s="319">
        <f t="shared" si="234"/>
        <v>114820</v>
      </c>
      <c r="V585" s="319">
        <f t="shared" si="235"/>
        <v>13183632400</v>
      </c>
      <c r="X585" s="345">
        <f t="shared" si="229"/>
        <v>1.3321589295744989</v>
      </c>
      <c r="Y585" s="346">
        <f t="shared" si="230"/>
        <v>-9.2939592694140991</v>
      </c>
      <c r="AA585" s="345">
        <f t="shared" si="231"/>
        <v>25.360621670443571</v>
      </c>
      <c r="AB585" s="346">
        <f t="shared" si="232"/>
        <v>-74.780725868446027</v>
      </c>
      <c r="AD585">
        <f t="shared" si="236"/>
        <v>0</v>
      </c>
      <c r="AE585">
        <f t="shared" si="239"/>
        <v>0</v>
      </c>
    </row>
    <row r="586" spans="1:31" x14ac:dyDescent="0.2">
      <c r="A586" s="347">
        <v>116155</v>
      </c>
      <c r="B586" s="364">
        <f t="shared" si="233"/>
        <v>116.155</v>
      </c>
      <c r="C586" s="337">
        <f t="shared" si="214"/>
        <v>2.4084860594228656</v>
      </c>
      <c r="D586" s="338">
        <f t="shared" si="215"/>
        <v>1.1426352466068577</v>
      </c>
      <c r="E586" s="338">
        <f t="shared" si="216"/>
        <v>1.0000235318545689</v>
      </c>
      <c r="F586" s="339">
        <f t="shared" si="217"/>
        <v>6.8602322295284275E-3</v>
      </c>
      <c r="G586" s="338">
        <f t="shared" si="218"/>
        <v>1</v>
      </c>
      <c r="H586" s="339">
        <f t="shared" si="219"/>
        <v>0</v>
      </c>
      <c r="I586" s="337">
        <f t="shared" si="220"/>
        <v>1261154.0476714831</v>
      </c>
      <c r="J586" s="340">
        <f t="shared" si="221"/>
        <v>1.5707955338703512</v>
      </c>
      <c r="K586" s="348">
        <f t="shared" si="237"/>
        <v>19.258286308787323</v>
      </c>
      <c r="L586" s="349">
        <f t="shared" si="238"/>
        <v>1.5188472639446684</v>
      </c>
      <c r="M586" s="337">
        <f t="shared" si="222"/>
        <v>1.0061837260001623</v>
      </c>
      <c r="N586" s="340">
        <f t="shared" si="223"/>
        <v>0.11092364812963121</v>
      </c>
      <c r="O586" s="341">
        <f t="shared" si="224"/>
        <v>1.0032119863589555</v>
      </c>
      <c r="P586" s="342">
        <f t="shared" si="225"/>
        <v>0.17572614540883119</v>
      </c>
      <c r="Q586" s="343">
        <f t="shared" si="226"/>
        <v>-6.6159146119257537</v>
      </c>
      <c r="R586" s="344">
        <f t="shared" si="227"/>
        <v>-84.475354884556864</v>
      </c>
      <c r="S586" s="346">
        <f t="shared" si="228"/>
        <v>95.524645115443136</v>
      </c>
      <c r="U586" s="319">
        <f t="shared" si="234"/>
        <v>116155</v>
      </c>
      <c r="V586" s="319">
        <f t="shared" si="235"/>
        <v>13491984025</v>
      </c>
      <c r="X586" s="345">
        <f t="shared" si="229"/>
        <v>1.3306686428706911</v>
      </c>
      <c r="Y586" s="346">
        <f t="shared" si="230"/>
        <v>-9.3318735164333013</v>
      </c>
      <c r="AA586" s="345">
        <f t="shared" si="231"/>
        <v>25.277045614135933</v>
      </c>
      <c r="AB586" s="346">
        <f t="shared" si="232"/>
        <v>-75.143481368123545</v>
      </c>
      <c r="AD586">
        <f t="shared" si="236"/>
        <v>0</v>
      </c>
      <c r="AE586">
        <f t="shared" si="239"/>
        <v>0</v>
      </c>
    </row>
    <row r="587" spans="1:31" x14ac:dyDescent="0.2">
      <c r="A587" s="347">
        <v>117490</v>
      </c>
      <c r="B587" s="364">
        <f t="shared" si="233"/>
        <v>117.49</v>
      </c>
      <c r="C587" s="337">
        <f t="shared" si="214"/>
        <v>2.4314179187220515</v>
      </c>
      <c r="D587" s="338">
        <f t="shared" si="215"/>
        <v>1.1469355389680818</v>
      </c>
      <c r="E587" s="338">
        <f t="shared" si="216"/>
        <v>1.0000240758720647</v>
      </c>
      <c r="F587" s="339">
        <f t="shared" si="217"/>
        <v>6.9390761683144645E-3</v>
      </c>
      <c r="G587" s="338">
        <f t="shared" si="218"/>
        <v>1</v>
      </c>
      <c r="H587" s="339">
        <f t="shared" si="219"/>
        <v>0</v>
      </c>
      <c r="I587" s="337">
        <f t="shared" si="220"/>
        <v>1275648.8232182986</v>
      </c>
      <c r="J587" s="340">
        <f t="shared" si="221"/>
        <v>1.5707955428800904</v>
      </c>
      <c r="K587" s="348">
        <f t="shared" si="237"/>
        <v>19.479033450084508</v>
      </c>
      <c r="L587" s="349">
        <f t="shared" si="238"/>
        <v>1.519436500521967</v>
      </c>
      <c r="M587" s="337">
        <f t="shared" si="222"/>
        <v>1.0063262358364373</v>
      </c>
      <c r="N587" s="340">
        <f t="shared" si="223"/>
        <v>0.11218791238320987</v>
      </c>
      <c r="O587" s="341">
        <f t="shared" si="224"/>
        <v>1.0032878867786614</v>
      </c>
      <c r="P587" s="342">
        <f t="shared" si="225"/>
        <v>0.17775364061113502</v>
      </c>
      <c r="Q587" s="343">
        <f t="shared" si="226"/>
        <v>-6.7003712704074614</v>
      </c>
      <c r="R587" s="344">
        <f t="shared" si="227"/>
        <v>-84.872069734248441</v>
      </c>
      <c r="S587" s="346">
        <f t="shared" si="228"/>
        <v>95.127930265751559</v>
      </c>
      <c r="U587" s="319">
        <f t="shared" si="234"/>
        <v>117490</v>
      </c>
      <c r="V587" s="319">
        <f t="shared" si="235"/>
        <v>13803900100</v>
      </c>
      <c r="X587" s="345">
        <f t="shared" si="229"/>
        <v>1.3291739074982101</v>
      </c>
      <c r="Y587" s="346">
        <f t="shared" si="230"/>
        <v>-9.3705502696028997</v>
      </c>
      <c r="AA587" s="345">
        <f t="shared" si="231"/>
        <v>25.194083691026705</v>
      </c>
      <c r="AB587" s="346">
        <f t="shared" si="232"/>
        <v>-75.50151946464554</v>
      </c>
      <c r="AD587">
        <f t="shared" si="236"/>
        <v>0</v>
      </c>
      <c r="AE587">
        <f t="shared" si="239"/>
        <v>0</v>
      </c>
    </row>
    <row r="588" spans="1:31" x14ac:dyDescent="0.2">
      <c r="A588" s="347">
        <v>118860</v>
      </c>
      <c r="B588" s="364">
        <f t="shared" si="233"/>
        <v>118.86</v>
      </c>
      <c r="C588" s="337">
        <f t="shared" si="214"/>
        <v>2.4549968492329963</v>
      </c>
      <c r="D588" s="338">
        <f t="shared" si="215"/>
        <v>1.1512649667548638</v>
      </c>
      <c r="E588" s="338">
        <f t="shared" si="216"/>
        <v>1.0000246406153064</v>
      </c>
      <c r="F588" s="339">
        <f t="shared" si="217"/>
        <v>7.0199870869524054E-3</v>
      </c>
      <c r="G588" s="338">
        <f t="shared" si="218"/>
        <v>1</v>
      </c>
      <c r="H588" s="339">
        <f t="shared" si="219"/>
        <v>0</v>
      </c>
      <c r="I588" s="337">
        <f t="shared" si="220"/>
        <v>1290523.6116071658</v>
      </c>
      <c r="J588" s="340">
        <f t="shared" si="221"/>
        <v>1.570795551915622</v>
      </c>
      <c r="K588" s="348">
        <f t="shared" si="237"/>
        <v>19.705574841420987</v>
      </c>
      <c r="L588" s="349">
        <f t="shared" si="238"/>
        <v>1.5200274597658301</v>
      </c>
      <c r="M588" s="337">
        <f t="shared" si="222"/>
        <v>1.0064741536874429</v>
      </c>
      <c r="N588" s="340">
        <f t="shared" si="223"/>
        <v>0.1134849477797864</v>
      </c>
      <c r="O588" s="341">
        <f t="shared" si="224"/>
        <v>1.0033667571802427</v>
      </c>
      <c r="P588" s="342">
        <f t="shared" si="225"/>
        <v>0.17983456260173511</v>
      </c>
      <c r="Q588" s="343">
        <f t="shared" si="226"/>
        <v>-6.7864146442734192</v>
      </c>
      <c r="R588" s="344">
        <f t="shared" si="227"/>
        <v>-85.275175569264348</v>
      </c>
      <c r="S588" s="346">
        <f t="shared" si="228"/>
        <v>94.724824430735652</v>
      </c>
      <c r="U588" s="319">
        <f t="shared" si="234"/>
        <v>118860</v>
      </c>
      <c r="V588" s="319">
        <f t="shared" si="235"/>
        <v>14127699600</v>
      </c>
      <c r="X588" s="345">
        <f t="shared" si="229"/>
        <v>1.3276349383219774</v>
      </c>
      <c r="Y588" s="346">
        <f t="shared" si="230"/>
        <v>-9.4110059709122655</v>
      </c>
      <c r="AA588" s="345">
        <f t="shared" si="231"/>
        <v>25.109579286336981</v>
      </c>
      <c r="AB588" s="346">
        <f t="shared" si="232"/>
        <v>-75.864169598352063</v>
      </c>
      <c r="AD588">
        <f t="shared" si="236"/>
        <v>0</v>
      </c>
      <c r="AE588">
        <f t="shared" si="239"/>
        <v>0</v>
      </c>
    </row>
    <row r="589" spans="1:31" x14ac:dyDescent="0.2">
      <c r="A589" s="347">
        <v>120230</v>
      </c>
      <c r="B589" s="364">
        <f t="shared" si="233"/>
        <v>120.23</v>
      </c>
      <c r="C589" s="337">
        <f t="shared" ref="C589:C613" si="240">SQRT(1+(A589/pole1)^2)</f>
        <v>2.4786209200727067</v>
      </c>
      <c r="D589" s="338">
        <f t="shared" ref="D589:D613" si="241">ATAN(A589/pole1)</f>
        <v>1.155511944165863</v>
      </c>
      <c r="E589" s="338">
        <f t="shared" ref="E589:E613" si="242">SQRT(1+(A589/Zero1)^2)</f>
        <v>1.000025211905279</v>
      </c>
      <c r="F589" s="339">
        <f t="shared" ref="F589:F613" si="243">ATAN(A589/Zero1)</f>
        <v>7.1008979136751704E-3</v>
      </c>
      <c r="G589" s="338">
        <f t="shared" ref="G589:G613" si="244">IF(VIN_nom&gt;Vout, 1, SQRT(1+(A589/z_RHP)^2))</f>
        <v>1</v>
      </c>
      <c r="H589" s="339">
        <f t="shared" ref="H589:H613" si="245">IF(VIN_nom&gt;Vout, 0, -ATAN(A589/z_RHP))</f>
        <v>0</v>
      </c>
      <c r="I589" s="337">
        <f t="shared" ref="I589:I613" si="246">SQRT(1+(A589/Pole2)^2)</f>
        <v>1305398.3999960332</v>
      </c>
      <c r="J589" s="340">
        <f t="shared" ref="J589:J613" si="247">ATAN(A589/Pole2)</f>
        <v>1.5707955607452371</v>
      </c>
      <c r="K589" s="348">
        <f t="shared" si="237"/>
        <v>19.932122958156782</v>
      </c>
      <c r="L589" s="349">
        <f t="shared" si="238"/>
        <v>1.5206049855453416</v>
      </c>
      <c r="M589" s="337">
        <f t="shared" ref="M589:M613" si="248">SQRT(1+(A589/pole4)^2)</f>
        <v>1.0066237642314706</v>
      </c>
      <c r="N589" s="340">
        <f t="shared" ref="N589:N613" si="249">ATAN(A589/pole4)</f>
        <v>0.11478159981061113</v>
      </c>
      <c r="O589" s="341">
        <f t="shared" ref="O589:O613" si="250">SQRT((1-(V589/pterm2))^2+(A589/pterm1)^2)</f>
        <v>1.0034466230786245</v>
      </c>
      <c r="P589" s="342">
        <f t="shared" ref="P589:P613" si="251">IF((ATAN((A589/pterm1)/(1-A589^2/pterm2))&gt;0),ATAN((A589/pterm1)/(1-A589^2/pterm2)),PI()+ATAN((A589/pterm1)/(1-A589^2/pterm2)))</f>
        <v>0.18191576232508011</v>
      </c>
      <c r="Q589" s="343">
        <f t="shared" ref="Q589:Q613" si="252">20*LOG10(((E589*K589*G589)/(C589*I589*O589*M589))*Adc)</f>
        <v>-6.8718289555899972</v>
      </c>
      <c r="R589" s="344">
        <f t="shared" ref="R589:R613" si="253">((F589+L589+H589)-(D589+J589+P589+N589))*radconv</f>
        <v>-85.674320967678398</v>
      </c>
      <c r="S589" s="346">
        <f t="shared" ref="S589:S613" si="254">IF(R589&gt;0,R589,R589+180)</f>
        <v>94.325679032321602</v>
      </c>
      <c r="U589" s="319">
        <f t="shared" si="234"/>
        <v>120230</v>
      </c>
      <c r="V589" s="319">
        <f t="shared" si="235"/>
        <v>14455252900</v>
      </c>
      <c r="X589" s="345">
        <f t="shared" ref="X589:X613" si="255">20*LOG10((K589/(I589*M589))*AEA)</f>
        <v>1.3260904527139858</v>
      </c>
      <c r="Y589" s="346">
        <f t="shared" ref="Y589:Y613" si="256">(L589-(J589+N589))*radconv</f>
        <v>-9.4522093759963415</v>
      </c>
      <c r="AA589" s="345">
        <f t="shared" ref="AA589:AA613" si="257">20*LOG10((E589*G589/(C589*O589))*Acs*Am)</f>
        <v>25.025709460628395</v>
      </c>
      <c r="AB589" s="346">
        <f t="shared" ref="AB589:AB613" si="258">(F589+H589-(D589+P589))*radconv</f>
        <v>-76.222111591682065</v>
      </c>
      <c r="AD589">
        <f t="shared" si="236"/>
        <v>0</v>
      </c>
      <c r="AE589">
        <f t="shared" si="239"/>
        <v>0</v>
      </c>
    </row>
    <row r="590" spans="1:31" x14ac:dyDescent="0.2">
      <c r="A590" s="347">
        <v>126030</v>
      </c>
      <c r="B590" s="364">
        <f t="shared" ref="B590:B613" si="259">A590/1000</f>
        <v>126.03</v>
      </c>
      <c r="C590" s="337">
        <f t="shared" si="240"/>
        <v>2.5791067182994607</v>
      </c>
      <c r="D590" s="338">
        <f t="shared" si="241"/>
        <v>1.1726274170235869</v>
      </c>
      <c r="E590" s="338">
        <f t="shared" si="242"/>
        <v>1.0000277030320319</v>
      </c>
      <c r="F590" s="339">
        <f t="shared" si="243"/>
        <v>7.4434390571477913E-3</v>
      </c>
      <c r="G590" s="338">
        <f t="shared" si="244"/>
        <v>1</v>
      </c>
      <c r="H590" s="339">
        <f t="shared" si="245"/>
        <v>0</v>
      </c>
      <c r="I590" s="337">
        <f t="shared" si="246"/>
        <v>1368371.9566788299</v>
      </c>
      <c r="J590" s="340">
        <f t="shared" si="247"/>
        <v>1.5707955959994464</v>
      </c>
      <c r="K590" s="348">
        <f t="shared" si="237"/>
        <v>20.89130124343141</v>
      </c>
      <c r="L590" s="349">
        <f t="shared" si="238"/>
        <v>1.5229112164052343</v>
      </c>
      <c r="M590" s="337">
        <f t="shared" si="248"/>
        <v>1.0072758867013143</v>
      </c>
      <c r="N590" s="340">
        <f t="shared" si="249"/>
        <v>0.12026673222600233</v>
      </c>
      <c r="O590" s="341">
        <f t="shared" si="250"/>
        <v>1.0037958346788891</v>
      </c>
      <c r="P590" s="342">
        <f t="shared" si="251"/>
        <v>0.19072982058065249</v>
      </c>
      <c r="Q590" s="343">
        <f t="shared" si="252"/>
        <v>-7.2266219004761201</v>
      </c>
      <c r="R590" s="344">
        <f t="shared" si="253"/>
        <v>-87.322487167811218</v>
      </c>
      <c r="S590" s="346">
        <f t="shared" si="254"/>
        <v>92.677512832188782</v>
      </c>
      <c r="U590" s="319">
        <f t="shared" ref="U590:U613" si="260">IF(Q590&lt;0,A590,1000000000)</f>
        <v>126030</v>
      </c>
      <c r="V590" s="319">
        <f t="shared" ref="V590:V613" si="261">A590^2</f>
        <v>15883560900</v>
      </c>
      <c r="X590" s="345">
        <f t="shared" si="255"/>
        <v>1.3194821766627627</v>
      </c>
      <c r="Y590" s="346">
        <f t="shared" si="256"/>
        <v>-9.6343490387395008</v>
      </c>
      <c r="AA590" s="345">
        <f t="shared" si="257"/>
        <v>24.677524791793498</v>
      </c>
      <c r="AB590" s="346">
        <f t="shared" si="258"/>
        <v>-77.688138129071717</v>
      </c>
      <c r="AD590">
        <f t="shared" ref="AD590:AD613" si="262">SUM((Q591&lt;0)*(Q590&gt;0))*A590</f>
        <v>0</v>
      </c>
      <c r="AE590">
        <f t="shared" si="239"/>
        <v>0</v>
      </c>
    </row>
    <row r="591" spans="1:31" x14ac:dyDescent="0.2">
      <c r="A591" s="347">
        <v>131830</v>
      </c>
      <c r="B591" s="364">
        <f t="shared" si="259"/>
        <v>131.83000000000001</v>
      </c>
      <c r="C591" s="337">
        <f t="shared" si="240"/>
        <v>2.6802912656055331</v>
      </c>
      <c r="D591" s="338">
        <f t="shared" si="241"/>
        <v>1.1884549763781018</v>
      </c>
      <c r="E591" s="338">
        <f t="shared" si="242"/>
        <v>1.0000303114958777</v>
      </c>
      <c r="F591" s="339">
        <f t="shared" si="243"/>
        <v>7.785978453853694E-3</v>
      </c>
      <c r="G591" s="338">
        <f t="shared" si="244"/>
        <v>1</v>
      </c>
      <c r="H591" s="339">
        <f t="shared" si="245"/>
        <v>0</v>
      </c>
      <c r="I591" s="337">
        <f t="shared" si="246"/>
        <v>1431345.5133616279</v>
      </c>
      <c r="J591" s="340">
        <f t="shared" si="247"/>
        <v>1.5707956281515638</v>
      </c>
      <c r="K591" s="348">
        <f t="shared" si="237"/>
        <v>21.850580887733582</v>
      </c>
      <c r="L591" s="349">
        <f t="shared" si="238"/>
        <v>1.5250149623177216</v>
      </c>
      <c r="M591" s="337">
        <f t="shared" si="248"/>
        <v>1.0079582750107288</v>
      </c>
      <c r="N591" s="340">
        <f t="shared" si="249"/>
        <v>0.12574460239474919</v>
      </c>
      <c r="O591" s="341">
        <f t="shared" si="250"/>
        <v>1.0041631569827689</v>
      </c>
      <c r="P591" s="342">
        <f t="shared" si="251"/>
        <v>0.19954911060599778</v>
      </c>
      <c r="Q591" s="343">
        <f t="shared" si="252"/>
        <v>-7.5707694354595692</v>
      </c>
      <c r="R591" s="344">
        <f t="shared" si="253"/>
        <v>-88.908346477252778</v>
      </c>
      <c r="S591" s="346">
        <f t="shared" si="254"/>
        <v>91.091653522747222</v>
      </c>
      <c r="U591" s="319">
        <f t="shared" si="260"/>
        <v>131830</v>
      </c>
      <c r="V591" s="319">
        <f t="shared" si="261"/>
        <v>17379148900</v>
      </c>
      <c r="X591" s="345">
        <f t="shared" si="255"/>
        <v>1.3127434273452832</v>
      </c>
      <c r="Y591" s="346">
        <f t="shared" si="256"/>
        <v>-9.827673960577437</v>
      </c>
      <c r="AA591" s="345">
        <f t="shared" si="257"/>
        <v>24.340116006127527</v>
      </c>
      <c r="AB591" s="346">
        <f t="shared" si="258"/>
        <v>-79.080672516675335</v>
      </c>
      <c r="AD591">
        <f t="shared" si="262"/>
        <v>0</v>
      </c>
      <c r="AE591">
        <f t="shared" si="239"/>
        <v>0</v>
      </c>
    </row>
    <row r="592" spans="1:31" x14ac:dyDescent="0.2">
      <c r="A592" s="347">
        <v>144540</v>
      </c>
      <c r="B592" s="364">
        <f t="shared" si="259"/>
        <v>144.54</v>
      </c>
      <c r="C592" s="337">
        <f t="shared" si="240"/>
        <v>2.9041108192037299</v>
      </c>
      <c r="D592" s="338">
        <f t="shared" si="241"/>
        <v>1.2192611811370659</v>
      </c>
      <c r="E592" s="338">
        <f t="shared" si="242"/>
        <v>1.0000364379248405</v>
      </c>
      <c r="F592" s="339">
        <f t="shared" si="243"/>
        <v>8.5366057001167363E-3</v>
      </c>
      <c r="G592" s="338">
        <f t="shared" si="244"/>
        <v>1</v>
      </c>
      <c r="H592" s="339">
        <f t="shared" si="245"/>
        <v>0</v>
      </c>
      <c r="I592" s="337">
        <f t="shared" si="246"/>
        <v>1569344.4625751439</v>
      </c>
      <c r="J592" s="340">
        <f t="shared" si="247"/>
        <v>1.5707956895861614</v>
      </c>
      <c r="K592" s="348">
        <f t="shared" si="237"/>
        <v>23.95302138600961</v>
      </c>
      <c r="L592" s="349">
        <f t="shared" si="238"/>
        <v>1.5290358031466629</v>
      </c>
      <c r="M592" s="337">
        <f t="shared" si="248"/>
        <v>1.009559175258947</v>
      </c>
      <c r="N592" s="340">
        <f t="shared" si="249"/>
        <v>0.13772177092607846</v>
      </c>
      <c r="O592" s="341">
        <f t="shared" si="250"/>
        <v>1.0050325532383919</v>
      </c>
      <c r="P592" s="342">
        <f t="shared" si="251"/>
        <v>0.21889478297720377</v>
      </c>
      <c r="Q592" s="343">
        <f t="shared" si="252"/>
        <v>-8.2901711876970356</v>
      </c>
      <c r="R592" s="344">
        <f t="shared" si="253"/>
        <v>-92.194697119740013</v>
      </c>
      <c r="S592" s="346">
        <f t="shared" si="254"/>
        <v>87.805302880259987</v>
      </c>
      <c r="U592" s="319">
        <f t="shared" si="260"/>
        <v>144540</v>
      </c>
      <c r="V592" s="319">
        <f t="shared" si="261"/>
        <v>20891811600</v>
      </c>
      <c r="X592" s="345">
        <f t="shared" si="255"/>
        <v>1.2974292553904636</v>
      </c>
      <c r="Y592" s="346">
        <f t="shared" si="256"/>
        <v>-10.283541478811351</v>
      </c>
      <c r="AA592" s="345">
        <f t="shared" si="257"/>
        <v>23.636028425844881</v>
      </c>
      <c r="AB592" s="346">
        <f t="shared" si="258"/>
        <v>-81.911155640928655</v>
      </c>
      <c r="AD592">
        <f t="shared" si="262"/>
        <v>0</v>
      </c>
      <c r="AE592">
        <f t="shared" si="239"/>
        <v>0</v>
      </c>
    </row>
    <row r="593" spans="1:31" x14ac:dyDescent="0.2">
      <c r="A593" s="347">
        <v>158490</v>
      </c>
      <c r="B593" s="364">
        <f t="shared" si="259"/>
        <v>158.49</v>
      </c>
      <c r="C593" s="337">
        <f t="shared" si="240"/>
        <v>3.1524647014406817</v>
      </c>
      <c r="D593" s="338">
        <f t="shared" si="241"/>
        <v>1.2480079962465305</v>
      </c>
      <c r="E593" s="338">
        <f t="shared" si="242"/>
        <v>1.0000438106467868</v>
      </c>
      <c r="F593" s="339">
        <f t="shared" si="243"/>
        <v>9.3604537677618466E-3</v>
      </c>
      <c r="G593" s="338">
        <f t="shared" si="244"/>
        <v>1</v>
      </c>
      <c r="H593" s="339">
        <f t="shared" si="245"/>
        <v>0</v>
      </c>
      <c r="I593" s="337">
        <f t="shared" si="246"/>
        <v>1720806.7239070574</v>
      </c>
      <c r="J593" s="340">
        <f t="shared" si="247"/>
        <v>1.5707957456721091</v>
      </c>
      <c r="K593" s="348">
        <f t="shared" si="237"/>
        <v>26.260948935191049</v>
      </c>
      <c r="L593" s="349">
        <f t="shared" si="238"/>
        <v>1.5327077629284023</v>
      </c>
      <c r="M593" s="337">
        <f t="shared" si="248"/>
        <v>1.0114823985455281</v>
      </c>
      <c r="N593" s="340">
        <f t="shared" si="249"/>
        <v>0.15082170410910237</v>
      </c>
      <c r="O593" s="341">
        <f t="shared" si="250"/>
        <v>1.0060911983407339</v>
      </c>
      <c r="P593" s="342">
        <f t="shared" si="251"/>
        <v>0.24016023669701186</v>
      </c>
      <c r="Q593" s="343">
        <f t="shared" si="252"/>
        <v>-9.0297975523738856</v>
      </c>
      <c r="R593" s="344">
        <f t="shared" si="253"/>
        <v>-95.553172332875818</v>
      </c>
      <c r="S593" s="346">
        <f t="shared" si="254"/>
        <v>84.446827667124182</v>
      </c>
      <c r="U593" s="319">
        <f t="shared" si="260"/>
        <v>158490</v>
      </c>
      <c r="V593" s="319">
        <f t="shared" si="261"/>
        <v>25119080100</v>
      </c>
      <c r="X593" s="345">
        <f t="shared" si="255"/>
        <v>1.2796242228577697</v>
      </c>
      <c r="Y593" s="346">
        <f t="shared" si="256"/>
        <v>-10.823727778171898</v>
      </c>
      <c r="AA593" s="345">
        <f t="shared" si="257"/>
        <v>22.914207093700725</v>
      </c>
      <c r="AB593" s="346">
        <f t="shared" si="258"/>
        <v>-84.72944455470396</v>
      </c>
      <c r="AD593">
        <f t="shared" si="262"/>
        <v>0</v>
      </c>
      <c r="AE593">
        <f t="shared" si="239"/>
        <v>0</v>
      </c>
    </row>
    <row r="594" spans="1:31" x14ac:dyDescent="0.2">
      <c r="A594" s="347">
        <v>173780</v>
      </c>
      <c r="B594" s="364">
        <f t="shared" si="259"/>
        <v>173.78</v>
      </c>
      <c r="C594" s="337">
        <f t="shared" si="240"/>
        <v>3.4272113246814464</v>
      </c>
      <c r="D594" s="338">
        <f t="shared" si="241"/>
        <v>1.2747065104590345</v>
      </c>
      <c r="E594" s="338">
        <f t="shared" si="242"/>
        <v>1.0000526712464297</v>
      </c>
      <c r="F594" s="339">
        <f t="shared" si="243"/>
        <v>1.0263423858560806E-2</v>
      </c>
      <c r="G594" s="338">
        <f t="shared" si="244"/>
        <v>1</v>
      </c>
      <c r="H594" s="339">
        <f t="shared" si="245"/>
        <v>0</v>
      </c>
      <c r="I594" s="337">
        <f t="shared" si="246"/>
        <v>1886818.0483346579</v>
      </c>
      <c r="J594" s="340">
        <f t="shared" si="247"/>
        <v>1.5707957968020863</v>
      </c>
      <c r="K594" s="348">
        <f t="shared" si="237"/>
        <v>28.790908275052619</v>
      </c>
      <c r="L594" s="349">
        <f t="shared" si="238"/>
        <v>1.5360561523832423</v>
      </c>
      <c r="M594" s="337">
        <f t="shared" si="248"/>
        <v>1.0137889360662067</v>
      </c>
      <c r="N594" s="340">
        <f t="shared" si="249"/>
        <v>0.16512015434211538</v>
      </c>
      <c r="O594" s="341">
        <f t="shared" si="250"/>
        <v>1.0073813344634985</v>
      </c>
      <c r="P594" s="342">
        <f t="shared" si="251"/>
        <v>0.26351016621924572</v>
      </c>
      <c r="Q594" s="343">
        <f t="shared" si="252"/>
        <v>-9.7875085158434079</v>
      </c>
      <c r="R594" s="344">
        <f t="shared" si="253"/>
        <v>-98.996395756312367</v>
      </c>
      <c r="S594" s="346">
        <f t="shared" si="254"/>
        <v>81.003604243687633</v>
      </c>
      <c r="U594" s="319">
        <f t="shared" si="260"/>
        <v>173780</v>
      </c>
      <c r="V594" s="319">
        <f t="shared" si="261"/>
        <v>30199488400</v>
      </c>
      <c r="X594" s="345">
        <f t="shared" si="255"/>
        <v>1.2587803368771919</v>
      </c>
      <c r="Y594" s="346">
        <f t="shared" si="256"/>
        <v>-11.451122976421747</v>
      </c>
      <c r="AA594" s="345">
        <f t="shared" si="257"/>
        <v>22.17734001621178</v>
      </c>
      <c r="AB594" s="346">
        <f t="shared" si="258"/>
        <v>-87.545272779890638</v>
      </c>
      <c r="AD594">
        <f t="shared" si="262"/>
        <v>0</v>
      </c>
      <c r="AE594">
        <f t="shared" si="239"/>
        <v>0</v>
      </c>
    </row>
    <row r="595" spans="1:31" x14ac:dyDescent="0.2">
      <c r="A595" s="347">
        <v>190550</v>
      </c>
      <c r="B595" s="364">
        <f t="shared" si="259"/>
        <v>190.55</v>
      </c>
      <c r="C595" s="337">
        <f t="shared" si="240"/>
        <v>3.730926301873299</v>
      </c>
      <c r="D595" s="338">
        <f t="shared" si="241"/>
        <v>1.2994487466396398</v>
      </c>
      <c r="E595" s="338">
        <f t="shared" si="242"/>
        <v>1.0000633271002886</v>
      </c>
      <c r="F595" s="339">
        <f t="shared" si="243"/>
        <v>1.1253777902055983E-2</v>
      </c>
      <c r="G595" s="338">
        <f t="shared" si="244"/>
        <v>1</v>
      </c>
      <c r="H595" s="339">
        <f t="shared" si="245"/>
        <v>0</v>
      </c>
      <c r="I595" s="337">
        <f t="shared" si="246"/>
        <v>2068898.4872261514</v>
      </c>
      <c r="J595" s="340">
        <f t="shared" si="247"/>
        <v>1.5707958434459037</v>
      </c>
      <c r="K595" s="348">
        <f t="shared" si="237"/>
        <v>31.566064560780298</v>
      </c>
      <c r="L595" s="349">
        <f t="shared" si="238"/>
        <v>1.5391114349473296</v>
      </c>
      <c r="M595" s="337">
        <f t="shared" si="248"/>
        <v>1.0165558988259777</v>
      </c>
      <c r="N595" s="340">
        <f t="shared" si="249"/>
        <v>0.18072445956917918</v>
      </c>
      <c r="O595" s="341">
        <f t="shared" si="250"/>
        <v>1.0089585712291258</v>
      </c>
      <c r="P595" s="342">
        <f t="shared" si="251"/>
        <v>0.28917386760716268</v>
      </c>
      <c r="Q595" s="343">
        <f t="shared" si="252"/>
        <v>-10.563076442155346</v>
      </c>
      <c r="R595" s="344">
        <f t="shared" si="253"/>
        <v>-102.54670884662592</v>
      </c>
      <c r="S595" s="346">
        <f t="shared" si="254"/>
        <v>77.453291153374082</v>
      </c>
      <c r="U595" s="319">
        <f t="shared" si="260"/>
        <v>190550</v>
      </c>
      <c r="V595" s="319">
        <f t="shared" si="261"/>
        <v>36309302500</v>
      </c>
      <c r="X595" s="345">
        <f t="shared" si="255"/>
        <v>1.234224271932963</v>
      </c>
      <c r="Y595" s="346">
        <f t="shared" si="256"/>
        <v>-12.170131685339793</v>
      </c>
      <c r="AA595" s="345">
        <f t="shared" si="257"/>
        <v>21.426328154844072</v>
      </c>
      <c r="AB595" s="346">
        <f t="shared" si="258"/>
        <v>-90.376577161286122</v>
      </c>
      <c r="AD595">
        <f t="shared" si="262"/>
        <v>0</v>
      </c>
      <c r="AE595">
        <f t="shared" si="239"/>
        <v>0</v>
      </c>
    </row>
    <row r="596" spans="1:31" x14ac:dyDescent="0.2">
      <c r="A596" s="347">
        <v>208930</v>
      </c>
      <c r="B596" s="364">
        <f t="shared" si="259"/>
        <v>208.93</v>
      </c>
      <c r="C596" s="337">
        <f t="shared" si="240"/>
        <v>4.0660111236112764</v>
      </c>
      <c r="D596" s="338">
        <f t="shared" si="241"/>
        <v>1.3223056408663885</v>
      </c>
      <c r="E596" s="338">
        <f t="shared" si="242"/>
        <v>1.000076132575898</v>
      </c>
      <c r="F596" s="339">
        <f t="shared" si="243"/>
        <v>1.2339185230071142E-2</v>
      </c>
      <c r="G596" s="338">
        <f t="shared" si="244"/>
        <v>1</v>
      </c>
      <c r="H596" s="339">
        <f t="shared" si="245"/>
        <v>0</v>
      </c>
      <c r="I596" s="337">
        <f t="shared" si="246"/>
        <v>2268459.5168520142</v>
      </c>
      <c r="J596" s="340">
        <f t="shared" si="247"/>
        <v>1.5707958859671047</v>
      </c>
      <c r="K596" s="348">
        <f t="shared" si="237"/>
        <v>34.607930653876231</v>
      </c>
      <c r="L596" s="349">
        <f t="shared" si="238"/>
        <v>1.5418971933307961</v>
      </c>
      <c r="M596" s="337">
        <f t="shared" si="248"/>
        <v>1.0198711528691446</v>
      </c>
      <c r="N596" s="340">
        <f t="shared" si="249"/>
        <v>0.19772498779767544</v>
      </c>
      <c r="O596" s="341">
        <f t="shared" si="250"/>
        <v>1.0108909460579407</v>
      </c>
      <c r="P596" s="342">
        <f t="shared" si="251"/>
        <v>0.31736971430326638</v>
      </c>
      <c r="Q596" s="343">
        <f t="shared" si="252"/>
        <v>-11.355636575745917</v>
      </c>
      <c r="R596" s="344">
        <f t="shared" si="253"/>
        <v>-106.22407493448974</v>
      </c>
      <c r="S596" s="346">
        <f t="shared" si="254"/>
        <v>73.775925065510265</v>
      </c>
      <c r="U596" s="319">
        <f t="shared" si="260"/>
        <v>208930</v>
      </c>
      <c r="V596" s="319">
        <f t="shared" si="261"/>
        <v>43651744900</v>
      </c>
      <c r="X596" s="345">
        <f t="shared" si="255"/>
        <v>1.2052102157486426</v>
      </c>
      <c r="Y596" s="346">
        <f t="shared" si="256"/>
        <v>-12.984580441425825</v>
      </c>
      <c r="AA596" s="345">
        <f t="shared" si="257"/>
        <v>20.662782077437818</v>
      </c>
      <c r="AB596" s="346">
        <f t="shared" si="258"/>
        <v>-93.239494493063901</v>
      </c>
      <c r="AD596">
        <f t="shared" si="262"/>
        <v>0</v>
      </c>
      <c r="AE596">
        <f t="shared" si="239"/>
        <v>0</v>
      </c>
    </row>
    <row r="597" spans="1:31" x14ac:dyDescent="0.2">
      <c r="A597" s="347">
        <v>229090</v>
      </c>
      <c r="B597" s="364">
        <f t="shared" si="259"/>
        <v>229.09</v>
      </c>
      <c r="C597" s="337">
        <f t="shared" si="240"/>
        <v>4.4356021186748826</v>
      </c>
      <c r="D597" s="338">
        <f t="shared" si="241"/>
        <v>1.343392927361688</v>
      </c>
      <c r="E597" s="338">
        <f t="shared" si="242"/>
        <v>1.0000915330293807</v>
      </c>
      <c r="F597" s="339">
        <f t="shared" si="243"/>
        <v>1.3529674645991382E-2</v>
      </c>
      <c r="G597" s="338">
        <f t="shared" si="244"/>
        <v>1</v>
      </c>
      <c r="H597" s="339">
        <f t="shared" si="245"/>
        <v>0</v>
      </c>
      <c r="I597" s="337">
        <f t="shared" si="246"/>
        <v>2487346.9138736394</v>
      </c>
      <c r="J597" s="340">
        <f t="shared" si="247"/>
        <v>1.5707959247601042</v>
      </c>
      <c r="K597" s="348">
        <f t="shared" si="237"/>
        <v>37.944641361789408</v>
      </c>
      <c r="L597" s="349">
        <f t="shared" si="238"/>
        <v>1.5444390927440188</v>
      </c>
      <c r="M597" s="337">
        <f t="shared" si="248"/>
        <v>1.0238440673067879</v>
      </c>
      <c r="N597" s="340">
        <f t="shared" si="249"/>
        <v>0.21623935081097506</v>
      </c>
      <c r="O597" s="341">
        <f t="shared" si="250"/>
        <v>1.0132680396409088</v>
      </c>
      <c r="P597" s="342">
        <f t="shared" si="251"/>
        <v>0.34838257510787524</v>
      </c>
      <c r="Q597" s="343">
        <f t="shared" si="252"/>
        <v>-12.165964320606697</v>
      </c>
      <c r="R597" s="344">
        <f t="shared" si="253"/>
        <v>-110.05614044746181</v>
      </c>
      <c r="S597" s="346">
        <f t="shared" si="254"/>
        <v>69.943859552538186</v>
      </c>
      <c r="U597" s="319">
        <f t="shared" si="260"/>
        <v>229090</v>
      </c>
      <c r="V597" s="319">
        <f t="shared" si="261"/>
        <v>52482228100</v>
      </c>
      <c r="X597" s="345">
        <f t="shared" si="255"/>
        <v>1.1708298630852747</v>
      </c>
      <c r="Y597" s="346">
        <f t="shared" si="256"/>
        <v>-13.899737417857427</v>
      </c>
      <c r="AA597" s="345">
        <f t="shared" si="257"/>
        <v>19.886834685240409</v>
      </c>
      <c r="AB597" s="346">
        <f t="shared" si="258"/>
        <v>-96.156403029604391</v>
      </c>
      <c r="AD597">
        <f t="shared" si="262"/>
        <v>0</v>
      </c>
      <c r="AE597">
        <f t="shared" si="239"/>
        <v>0</v>
      </c>
    </row>
    <row r="598" spans="1:31" x14ac:dyDescent="0.2">
      <c r="A598" s="347">
        <v>251190</v>
      </c>
      <c r="B598" s="364">
        <f t="shared" si="259"/>
        <v>251.19</v>
      </c>
      <c r="C598" s="337">
        <f t="shared" si="240"/>
        <v>4.8426619995730338</v>
      </c>
      <c r="D598" s="338">
        <f t="shared" si="241"/>
        <v>1.3628018723542672</v>
      </c>
      <c r="E598" s="338">
        <f t="shared" si="242"/>
        <v>1.0001100439685324</v>
      </c>
      <c r="F598" s="339">
        <f t="shared" si="243"/>
        <v>1.4834680858321828E-2</v>
      </c>
      <c r="G598" s="338">
        <f t="shared" si="244"/>
        <v>1</v>
      </c>
      <c r="H598" s="339">
        <f t="shared" si="245"/>
        <v>0</v>
      </c>
      <c r="I598" s="337">
        <f t="shared" si="246"/>
        <v>2727297.8798546903</v>
      </c>
      <c r="J598" s="340">
        <f t="shared" si="247"/>
        <v>1.5707959601316115</v>
      </c>
      <c r="K598" s="348">
        <f t="shared" si="237"/>
        <v>41.60267860363448</v>
      </c>
      <c r="L598" s="349">
        <f t="shared" si="238"/>
        <v>1.5467570977319993</v>
      </c>
      <c r="M598" s="337">
        <f t="shared" si="248"/>
        <v>1.0285991792051807</v>
      </c>
      <c r="N598" s="340">
        <f t="shared" si="249"/>
        <v>0.23636334378158036</v>
      </c>
      <c r="O598" s="341">
        <f t="shared" si="250"/>
        <v>1.0162014810481639</v>
      </c>
      <c r="P598" s="342">
        <f t="shared" si="251"/>
        <v>0.38248791011406408</v>
      </c>
      <c r="Q598" s="343">
        <f t="shared" si="252"/>
        <v>-12.994299202307268</v>
      </c>
      <c r="R598" s="344">
        <f t="shared" si="253"/>
        <v>-114.06772147955475</v>
      </c>
      <c r="S598" s="346">
        <f t="shared" si="254"/>
        <v>65.932278520445252</v>
      </c>
      <c r="U598" s="319">
        <f t="shared" si="260"/>
        <v>251190</v>
      </c>
      <c r="V598" s="319">
        <f t="shared" si="261"/>
        <v>63096416100</v>
      </c>
      <c r="X598" s="345">
        <f t="shared" si="255"/>
        <v>1.1300753092851346</v>
      </c>
      <c r="Y598" s="346">
        <f t="shared" si="256"/>
        <v>-14.919947407126337</v>
      </c>
      <c r="AA598" s="345">
        <f t="shared" si="257"/>
        <v>19.09925435733998</v>
      </c>
      <c r="AB598" s="346">
        <f t="shared" si="258"/>
        <v>-99.147774072428419</v>
      </c>
      <c r="AD598">
        <f t="shared" si="262"/>
        <v>0</v>
      </c>
      <c r="AE598">
        <f t="shared" si="239"/>
        <v>0</v>
      </c>
    </row>
    <row r="599" spans="1:31" x14ac:dyDescent="0.2">
      <c r="A599" s="347">
        <v>275420</v>
      </c>
      <c r="B599" s="364">
        <f t="shared" si="259"/>
        <v>275.42</v>
      </c>
      <c r="C599" s="337">
        <f t="shared" si="240"/>
        <v>5.2907122161896458</v>
      </c>
      <c r="D599" s="338">
        <f t="shared" si="241"/>
        <v>1.3806419722881649</v>
      </c>
      <c r="E599" s="338">
        <f t="shared" si="242"/>
        <v>1.0001322962908998</v>
      </c>
      <c r="F599" s="339">
        <f t="shared" si="243"/>
        <v>1.6265405453849018E-2</v>
      </c>
      <c r="G599" s="338">
        <f t="shared" si="244"/>
        <v>1</v>
      </c>
      <c r="H599" s="339">
        <f t="shared" si="245"/>
        <v>0</v>
      </c>
      <c r="I599" s="337">
        <f t="shared" si="246"/>
        <v>2990375.3416520176</v>
      </c>
      <c r="J599" s="340">
        <f t="shared" si="247"/>
        <v>1.5707959923887149</v>
      </c>
      <c r="K599" s="348">
        <f t="shared" ref="K599:K613" si="263">SQRT(1+(A599/Zero2)^2)</f>
        <v>45.613491508172736</v>
      </c>
      <c r="L599" s="349">
        <f t="shared" ref="L599:L613" si="264">ATAN(A599/Zero2)</f>
        <v>1.5488712320537745</v>
      </c>
      <c r="M599" s="337">
        <f t="shared" si="248"/>
        <v>1.0342865620623369</v>
      </c>
      <c r="N599" s="340">
        <f t="shared" si="249"/>
        <v>0.25820439056431072</v>
      </c>
      <c r="O599" s="341">
        <f t="shared" si="250"/>
        <v>1.0198370287617304</v>
      </c>
      <c r="P599" s="342">
        <f t="shared" si="251"/>
        <v>0.4200137066841052</v>
      </c>
      <c r="Q599" s="343">
        <f t="shared" si="252"/>
        <v>-13.842040901384111</v>
      </c>
      <c r="R599" s="344">
        <f t="shared" si="253"/>
        <v>-118.28824987707461</v>
      </c>
      <c r="S599" s="346">
        <f t="shared" si="254"/>
        <v>61.711750122925395</v>
      </c>
      <c r="U599" s="319">
        <f t="shared" si="260"/>
        <v>275420</v>
      </c>
      <c r="V599" s="319">
        <f t="shared" si="261"/>
        <v>75856176400</v>
      </c>
      <c r="X599" s="345">
        <f t="shared" si="255"/>
        <v>1.081759035560184</v>
      </c>
      <c r="Y599" s="346">
        <f t="shared" si="256"/>
        <v>-16.05021808345051</v>
      </c>
      <c r="AA599" s="345">
        <f t="shared" si="257"/>
        <v>18.299828931988081</v>
      </c>
      <c r="AB599" s="346">
        <f t="shared" si="258"/>
        <v>-102.23803179362409</v>
      </c>
      <c r="AD599">
        <f t="shared" si="262"/>
        <v>0</v>
      </c>
      <c r="AE599">
        <f t="shared" si="239"/>
        <v>0</v>
      </c>
    </row>
    <row r="600" spans="1:31" x14ac:dyDescent="0.2">
      <c r="A600" s="347">
        <v>302000</v>
      </c>
      <c r="B600" s="364">
        <f t="shared" si="259"/>
        <v>302</v>
      </c>
      <c r="C600" s="337">
        <f t="shared" si="240"/>
        <v>5.7838393567459168</v>
      </c>
      <c r="D600" s="338">
        <f t="shared" si="241"/>
        <v>1.3970276035644302</v>
      </c>
      <c r="E600" s="338">
        <f t="shared" si="242"/>
        <v>1.0001590613978644</v>
      </c>
      <c r="F600" s="339">
        <f t="shared" si="243"/>
        <v>1.7834815219239842E-2</v>
      </c>
      <c r="G600" s="338">
        <f t="shared" si="244"/>
        <v>1</v>
      </c>
      <c r="H600" s="339">
        <f t="shared" si="245"/>
        <v>0</v>
      </c>
      <c r="I600" s="337">
        <f t="shared" si="246"/>
        <v>3278967.9514156589</v>
      </c>
      <c r="J600" s="340">
        <f t="shared" si="247"/>
        <v>1.5707960218208881</v>
      </c>
      <c r="K600" s="348">
        <f t="shared" si="263"/>
        <v>50.013497006448794</v>
      </c>
      <c r="L600" s="349">
        <f t="shared" si="264"/>
        <v>1.5508003916466271</v>
      </c>
      <c r="M600" s="337">
        <f t="shared" si="248"/>
        <v>1.0410863563815722</v>
      </c>
      <c r="N600" s="340">
        <f t="shared" si="249"/>
        <v>0.2818766909457936</v>
      </c>
      <c r="O600" s="341">
        <f t="shared" si="250"/>
        <v>1.0243661249107858</v>
      </c>
      <c r="P600" s="342">
        <f t="shared" si="251"/>
        <v>0.46134072725765651</v>
      </c>
      <c r="Q600" s="343">
        <f t="shared" si="252"/>
        <v>-14.711607484283206</v>
      </c>
      <c r="R600" s="344">
        <f t="shared" si="253"/>
        <v>-122.75081258867927</v>
      </c>
      <c r="S600" s="346">
        <f t="shared" si="254"/>
        <v>57.249187411320733</v>
      </c>
      <c r="U600" s="319">
        <f t="shared" si="260"/>
        <v>302000</v>
      </c>
      <c r="V600" s="319">
        <f t="shared" si="261"/>
        <v>91204000000</v>
      </c>
      <c r="X600" s="345">
        <f t="shared" si="255"/>
        <v>1.0244903028798216</v>
      </c>
      <c r="Y600" s="346">
        <f t="shared" si="256"/>
        <v>-17.296009971760608</v>
      </c>
      <c r="AA600" s="345">
        <f t="shared" si="257"/>
        <v>17.487531081769355</v>
      </c>
      <c r="AB600" s="346">
        <f t="shared" si="258"/>
        <v>-105.45480261691864</v>
      </c>
      <c r="AD600">
        <f t="shared" si="262"/>
        <v>0</v>
      </c>
      <c r="AE600">
        <f t="shared" si="239"/>
        <v>0</v>
      </c>
    </row>
    <row r="601" spans="1:31" x14ac:dyDescent="0.2">
      <c r="A601" s="347">
        <v>331130</v>
      </c>
      <c r="B601" s="364">
        <f t="shared" si="259"/>
        <v>331.13</v>
      </c>
      <c r="C601" s="337">
        <f t="shared" si="240"/>
        <v>6.325767362273421</v>
      </c>
      <c r="D601" s="338">
        <f t="shared" si="241"/>
        <v>1.4120467932586069</v>
      </c>
      <c r="E601" s="338">
        <f t="shared" si="242"/>
        <v>1.0001912233771313</v>
      </c>
      <c r="F601" s="339">
        <f t="shared" si="243"/>
        <v>1.9554687935100356E-2</v>
      </c>
      <c r="G601" s="338">
        <f t="shared" si="244"/>
        <v>1</v>
      </c>
      <c r="H601" s="339">
        <f t="shared" si="245"/>
        <v>0</v>
      </c>
      <c r="I601" s="337">
        <f t="shared" si="246"/>
        <v>3595247.2111001941</v>
      </c>
      <c r="J601" s="340">
        <f t="shared" si="247"/>
        <v>1.5707960486499064</v>
      </c>
      <c r="K601" s="348">
        <f t="shared" si="263"/>
        <v>54.835802750955814</v>
      </c>
      <c r="L601" s="349">
        <f t="shared" si="264"/>
        <v>1.5525590550674035</v>
      </c>
      <c r="M601" s="337">
        <f t="shared" si="248"/>
        <v>1.0491991958207783</v>
      </c>
      <c r="N601" s="340">
        <f t="shared" si="249"/>
        <v>0.30745169356587787</v>
      </c>
      <c r="O601" s="341">
        <f t="shared" si="250"/>
        <v>1.0300311841214154</v>
      </c>
      <c r="P601" s="342">
        <f t="shared" si="251"/>
        <v>0.50682333175204963</v>
      </c>
      <c r="Q601" s="343">
        <f t="shared" si="252"/>
        <v>-15.604887290033879</v>
      </c>
      <c r="R601" s="344">
        <f t="shared" si="253"/>
        <v>-127.48334586290449</v>
      </c>
      <c r="S601" s="346">
        <f t="shared" si="254"/>
        <v>52.516654137095514</v>
      </c>
      <c r="U601" s="319">
        <f t="shared" si="260"/>
        <v>331130</v>
      </c>
      <c r="V601" s="319">
        <f t="shared" si="261"/>
        <v>109647076900</v>
      </c>
      <c r="X601" s="345">
        <f t="shared" si="255"/>
        <v>0.95677436976617902</v>
      </c>
      <c r="Y601" s="346">
        <f t="shared" si="256"/>
        <v>-18.660587230081706</v>
      </c>
      <c r="AA601" s="345">
        <f t="shared" si="257"/>
        <v>16.661967209132325</v>
      </c>
      <c r="AB601" s="346">
        <f t="shared" si="258"/>
        <v>-108.82275863282278</v>
      </c>
      <c r="AD601">
        <f t="shared" si="262"/>
        <v>0</v>
      </c>
      <c r="AE601">
        <f t="shared" si="239"/>
        <v>0</v>
      </c>
    </row>
    <row r="602" spans="1:31" x14ac:dyDescent="0.2">
      <c r="A602" s="347">
        <v>363080</v>
      </c>
      <c r="B602" s="364">
        <f t="shared" si="259"/>
        <v>363.08</v>
      </c>
      <c r="C602" s="337">
        <f t="shared" si="240"/>
        <v>6.9215292593448243</v>
      </c>
      <c r="D602" s="338">
        <f t="shared" si="241"/>
        <v>1.4258121804302852</v>
      </c>
      <c r="E602" s="338">
        <f t="shared" si="242"/>
        <v>1.000229900640593</v>
      </c>
      <c r="F602" s="339">
        <f t="shared" si="243"/>
        <v>2.1440923673126177E-2</v>
      </c>
      <c r="G602" s="338">
        <f t="shared" si="244"/>
        <v>1</v>
      </c>
      <c r="H602" s="339">
        <f t="shared" si="245"/>
        <v>0</v>
      </c>
      <c r="I602" s="337">
        <f t="shared" si="246"/>
        <v>3942144.6483443053</v>
      </c>
      <c r="J602" s="340">
        <f t="shared" si="247"/>
        <v>1.570796073125869</v>
      </c>
      <c r="K602" s="348">
        <f t="shared" si="263"/>
        <v>60.125105675093103</v>
      </c>
      <c r="L602" s="349">
        <f t="shared" si="264"/>
        <v>1.5541635725012375</v>
      </c>
      <c r="M602" s="337">
        <f t="shared" si="248"/>
        <v>1.058873533902424</v>
      </c>
      <c r="N602" s="340">
        <f t="shared" si="249"/>
        <v>0.33503183198226361</v>
      </c>
      <c r="O602" s="341">
        <f t="shared" si="250"/>
        <v>1.0371605183816157</v>
      </c>
      <c r="P602" s="342">
        <f t="shared" si="251"/>
        <v>0.55692598836123908</v>
      </c>
      <c r="Q602" s="343">
        <f t="shared" si="252"/>
        <v>-16.526206231232521</v>
      </c>
      <c r="R602" s="344">
        <f t="shared" si="253"/>
        <v>-132.52293673100897</v>
      </c>
      <c r="S602" s="346">
        <f t="shared" si="254"/>
        <v>47.477063268991031</v>
      </c>
      <c r="U602" s="319">
        <f t="shared" si="260"/>
        <v>363080</v>
      </c>
      <c r="V602" s="319">
        <f t="shared" si="261"/>
        <v>131827086400</v>
      </c>
      <c r="X602" s="345">
        <f t="shared" si="255"/>
        <v>0.87680847145342167</v>
      </c>
      <c r="Y602" s="346">
        <f t="shared" si="256"/>
        <v>-20.148882086683361</v>
      </c>
      <c r="AA602" s="345">
        <f t="shared" si="257"/>
        <v>15.820614166246436</v>
      </c>
      <c r="AB602" s="346">
        <f t="shared" si="258"/>
        <v>-112.37405464432558</v>
      </c>
      <c r="AD602">
        <f t="shared" si="262"/>
        <v>0</v>
      </c>
      <c r="AE602">
        <f t="shared" ref="AE602:AE613" si="265">IF(AD602&gt;0,S602,0)</f>
        <v>0</v>
      </c>
    </row>
    <row r="603" spans="1:31" x14ac:dyDescent="0.2">
      <c r="A603" s="347">
        <v>398110</v>
      </c>
      <c r="B603" s="364">
        <f t="shared" si="259"/>
        <v>398.11</v>
      </c>
      <c r="C603" s="337">
        <f t="shared" si="240"/>
        <v>7.575981600217534</v>
      </c>
      <c r="D603" s="338">
        <f t="shared" si="241"/>
        <v>1.4384138993920206</v>
      </c>
      <c r="E603" s="338">
        <f t="shared" si="242"/>
        <v>1.0002763959060703</v>
      </c>
      <c r="F603" s="339">
        <f t="shared" si="243"/>
        <v>2.3508817870517798E-2</v>
      </c>
      <c r="G603" s="338">
        <f t="shared" si="244"/>
        <v>1</v>
      </c>
      <c r="H603" s="339">
        <f t="shared" si="245"/>
        <v>0</v>
      </c>
      <c r="I603" s="337">
        <f t="shared" si="246"/>
        <v>4322483.2156889476</v>
      </c>
      <c r="J603" s="340">
        <f t="shared" si="247"/>
        <v>1.5707960954463984</v>
      </c>
      <c r="K603" s="348">
        <f t="shared" si="263"/>
        <v>65.924448683029169</v>
      </c>
      <c r="L603" s="349">
        <f t="shared" si="264"/>
        <v>1.5556268657967609</v>
      </c>
      <c r="M603" s="337">
        <f t="shared" si="248"/>
        <v>1.0703881455738495</v>
      </c>
      <c r="N603" s="340">
        <f t="shared" si="249"/>
        <v>0.3646726994959098</v>
      </c>
      <c r="O603" s="341">
        <f t="shared" si="250"/>
        <v>1.0461791861312988</v>
      </c>
      <c r="P603" s="342">
        <f t="shared" si="251"/>
        <v>0.61209127977612532</v>
      </c>
      <c r="Q603" s="343">
        <f t="shared" si="252"/>
        <v>-17.479887574415859</v>
      </c>
      <c r="R603" s="344">
        <f t="shared" si="253"/>
        <v>-137.90167617045179</v>
      </c>
      <c r="S603" s="346">
        <f t="shared" si="254"/>
        <v>42.098323829548207</v>
      </c>
      <c r="U603" s="319">
        <f t="shared" si="260"/>
        <v>398110</v>
      </c>
      <c r="V603" s="319">
        <f t="shared" si="261"/>
        <v>158491572100</v>
      </c>
      <c r="X603" s="345">
        <f t="shared" si="255"/>
        <v>0.78266240612847859</v>
      </c>
      <c r="Y603" s="346">
        <f t="shared" si="256"/>
        <v>-21.763339447015355</v>
      </c>
      <c r="AA603" s="345">
        <f t="shared" si="257"/>
        <v>14.961078888388041</v>
      </c>
      <c r="AB603" s="346">
        <f t="shared" si="258"/>
        <v>-116.13833672343645</v>
      </c>
      <c r="AD603">
        <f t="shared" si="262"/>
        <v>0</v>
      </c>
      <c r="AE603">
        <f t="shared" si="265"/>
        <v>0</v>
      </c>
    </row>
    <row r="604" spans="1:31" x14ac:dyDescent="0.2">
      <c r="A604" s="347">
        <v>436520</v>
      </c>
      <c r="B604" s="364">
        <f t="shared" si="259"/>
        <v>436.52</v>
      </c>
      <c r="C604" s="337">
        <f t="shared" si="240"/>
        <v>8.294735168199427</v>
      </c>
      <c r="D604" s="338">
        <f t="shared" si="241"/>
        <v>1.449943960856777</v>
      </c>
      <c r="E604" s="338">
        <f t="shared" si="242"/>
        <v>1.0003322933038368</v>
      </c>
      <c r="F604" s="339">
        <f t="shared" si="243"/>
        <v>2.5776008776420965E-2</v>
      </c>
      <c r="G604" s="338">
        <f t="shared" si="244"/>
        <v>1</v>
      </c>
      <c r="H604" s="339">
        <f t="shared" si="245"/>
        <v>0</v>
      </c>
      <c r="I604" s="337">
        <f t="shared" si="246"/>
        <v>4739520.1660659891</v>
      </c>
      <c r="J604" s="340">
        <f t="shared" si="247"/>
        <v>1.5707961158030737</v>
      </c>
      <c r="K604" s="348">
        <f t="shared" si="263"/>
        <v>72.283497853803127</v>
      </c>
      <c r="L604" s="349">
        <f t="shared" si="264"/>
        <v>1.556961469172448</v>
      </c>
      <c r="M604" s="337">
        <f t="shared" si="248"/>
        <v>1.0840700123346916</v>
      </c>
      <c r="N604" s="340">
        <f t="shared" si="249"/>
        <v>0.39641885925905251</v>
      </c>
      <c r="O604" s="341">
        <f t="shared" si="250"/>
        <v>1.0576526875183023</v>
      </c>
      <c r="P604" s="342">
        <f t="shared" si="251"/>
        <v>0.67280461773342659</v>
      </c>
      <c r="Q604" s="343">
        <f t="shared" si="252"/>
        <v>-18.471903439142054</v>
      </c>
      <c r="R604" s="344">
        <f t="shared" si="253"/>
        <v>-143.65347258710418</v>
      </c>
      <c r="S604" s="346">
        <f t="shared" si="254"/>
        <v>36.346527412895824</v>
      </c>
      <c r="U604" s="319">
        <f t="shared" si="260"/>
        <v>436520</v>
      </c>
      <c r="V604" s="319">
        <f t="shared" si="261"/>
        <v>190549710400</v>
      </c>
      <c r="X604" s="345">
        <f t="shared" si="255"/>
        <v>0.67217347420523166</v>
      </c>
      <c r="Y604" s="346">
        <f t="shared" si="256"/>
        <v>-23.505794444783302</v>
      </c>
      <c r="AA604" s="345">
        <f t="shared" si="257"/>
        <v>14.079551955585096</v>
      </c>
      <c r="AB604" s="346">
        <f t="shared" si="258"/>
        <v>-120.14767814232086</v>
      </c>
      <c r="AD604">
        <f t="shared" si="262"/>
        <v>0</v>
      </c>
      <c r="AE604">
        <f t="shared" si="265"/>
        <v>0</v>
      </c>
    </row>
    <row r="605" spans="1:31" x14ac:dyDescent="0.2">
      <c r="A605" s="347">
        <v>478630</v>
      </c>
      <c r="B605" s="364">
        <f t="shared" si="259"/>
        <v>478.63</v>
      </c>
      <c r="C605" s="337">
        <f t="shared" si="240"/>
        <v>9.0837824944357308</v>
      </c>
      <c r="D605" s="338">
        <f t="shared" si="241"/>
        <v>1.4604864500219341</v>
      </c>
      <c r="E605" s="338">
        <f t="shared" si="242"/>
        <v>1.0003994832198981</v>
      </c>
      <c r="F605" s="339">
        <f t="shared" si="243"/>
        <v>2.8261290705894775E-2</v>
      </c>
      <c r="G605" s="338">
        <f t="shared" si="244"/>
        <v>1</v>
      </c>
      <c r="H605" s="339">
        <f t="shared" si="245"/>
        <v>0</v>
      </c>
      <c r="I605" s="337">
        <f t="shared" si="246"/>
        <v>5196729.9026027573</v>
      </c>
      <c r="J605" s="340">
        <f t="shared" si="247"/>
        <v>1.5707961343661927</v>
      </c>
      <c r="K605" s="348">
        <f t="shared" si="263"/>
        <v>79.255231451544006</v>
      </c>
      <c r="L605" s="349">
        <f t="shared" si="264"/>
        <v>1.5581785283608525</v>
      </c>
      <c r="M605" s="337">
        <f t="shared" si="248"/>
        <v>1.1002917762799367</v>
      </c>
      <c r="N605" s="340">
        <f t="shared" si="249"/>
        <v>0.43027797328022377</v>
      </c>
      <c r="O605" s="341">
        <f t="shared" si="250"/>
        <v>1.0723264276233677</v>
      </c>
      <c r="P605" s="342">
        <f t="shared" si="251"/>
        <v>0.73954033607132796</v>
      </c>
      <c r="Q605" s="343">
        <f t="shared" si="252"/>
        <v>-19.509433279147729</v>
      </c>
      <c r="R605" s="344">
        <f t="shared" si="253"/>
        <v>-149.80904460708089</v>
      </c>
      <c r="S605" s="346">
        <f t="shared" si="254"/>
        <v>30.190955392919108</v>
      </c>
      <c r="U605" s="319">
        <f t="shared" si="260"/>
        <v>478630</v>
      </c>
      <c r="V605" s="319">
        <f t="shared" si="261"/>
        <v>229086676900</v>
      </c>
      <c r="X605" s="345">
        <f t="shared" si="255"/>
        <v>0.54302292903221283</v>
      </c>
      <c r="Y605" s="346">
        <f t="shared" si="256"/>
        <v>-25.376047487060891</v>
      </c>
      <c r="AA605" s="345">
        <f t="shared" si="257"/>
        <v>13.171172660752434</v>
      </c>
      <c r="AB605" s="346">
        <f t="shared" si="258"/>
        <v>-124.43299712002002</v>
      </c>
      <c r="AD605">
        <f t="shared" si="262"/>
        <v>0</v>
      </c>
      <c r="AE605">
        <f t="shared" si="265"/>
        <v>0</v>
      </c>
    </row>
    <row r="606" spans="1:31" x14ac:dyDescent="0.2">
      <c r="A606" s="347">
        <v>524810</v>
      </c>
      <c r="B606" s="364">
        <f t="shared" si="259"/>
        <v>524.80999999999995</v>
      </c>
      <c r="C606" s="337">
        <f t="shared" si="240"/>
        <v>9.9500601641028403</v>
      </c>
      <c r="D606" s="338">
        <f t="shared" si="241"/>
        <v>1.4701244594569434</v>
      </c>
      <c r="E606" s="338">
        <f t="shared" si="242"/>
        <v>1.0004802699055457</v>
      </c>
      <c r="F606" s="339">
        <f t="shared" si="243"/>
        <v>3.0986376629206881E-2</v>
      </c>
      <c r="G606" s="338">
        <f t="shared" si="244"/>
        <v>1</v>
      </c>
      <c r="H606" s="339">
        <f t="shared" si="245"/>
        <v>0</v>
      </c>
      <c r="I606" s="337">
        <f t="shared" si="246"/>
        <v>5698129.7039152263</v>
      </c>
      <c r="J606" s="340">
        <f t="shared" si="247"/>
        <v>1.5707961512987159</v>
      </c>
      <c r="K606" s="348">
        <f t="shared" si="263"/>
        <v>86.900906704010112</v>
      </c>
      <c r="L606" s="349">
        <f t="shared" si="264"/>
        <v>1.5592887130180968</v>
      </c>
      <c r="M606" s="337">
        <f t="shared" si="248"/>
        <v>1.1194864561002875</v>
      </c>
      <c r="N606" s="340">
        <f t="shared" si="249"/>
        <v>0.46623579469461346</v>
      </c>
      <c r="O606" s="341">
        <f t="shared" si="250"/>
        <v>1.0911929483750287</v>
      </c>
      <c r="P606" s="342">
        <f t="shared" si="251"/>
        <v>0.8127735221448269</v>
      </c>
      <c r="Q606" s="343">
        <f t="shared" si="252"/>
        <v>-20.601738171688062</v>
      </c>
      <c r="R606" s="344">
        <f t="shared" si="253"/>
        <v>-156.39770192058577</v>
      </c>
      <c r="S606" s="346">
        <f t="shared" si="254"/>
        <v>23.602298079414226</v>
      </c>
      <c r="U606" s="319">
        <f t="shared" si="260"/>
        <v>524810</v>
      </c>
      <c r="V606" s="319">
        <f t="shared" si="261"/>
        <v>275425536100</v>
      </c>
      <c r="X606" s="345">
        <f t="shared" si="255"/>
        <v>0.39268706909160467</v>
      </c>
      <c r="Y606" s="346">
        <f t="shared" si="256"/>
        <v>-27.372670971693875</v>
      </c>
      <c r="AA606" s="345">
        <f t="shared" si="257"/>
        <v>12.229203628152712</v>
      </c>
      <c r="AB606" s="346">
        <f t="shared" si="258"/>
        <v>-129.02503094889192</v>
      </c>
      <c r="AD606">
        <f t="shared" si="262"/>
        <v>0</v>
      </c>
      <c r="AE606">
        <f t="shared" si="265"/>
        <v>0</v>
      </c>
    </row>
    <row r="607" spans="1:31" x14ac:dyDescent="0.2">
      <c r="A607" s="347">
        <v>575440</v>
      </c>
      <c r="B607" s="364">
        <f t="shared" si="259"/>
        <v>575.44000000000005</v>
      </c>
      <c r="C607" s="337">
        <f t="shared" si="240"/>
        <v>10.900699286788306</v>
      </c>
      <c r="D607" s="338">
        <f t="shared" si="241"/>
        <v>1.4789299306807264</v>
      </c>
      <c r="E607" s="338">
        <f t="shared" si="242"/>
        <v>1.0005773779363192</v>
      </c>
      <c r="F607" s="339">
        <f t="shared" si="243"/>
        <v>3.3973527009193982E-2</v>
      </c>
      <c r="G607" s="338">
        <f t="shared" si="244"/>
        <v>1</v>
      </c>
      <c r="H607" s="339">
        <f t="shared" si="245"/>
        <v>0</v>
      </c>
      <c r="I607" s="337">
        <f t="shared" si="246"/>
        <v>6247845.4237170964</v>
      </c>
      <c r="J607" s="340">
        <f t="shared" si="247"/>
        <v>1.5707961667397206</v>
      </c>
      <c r="K607" s="348">
        <f t="shared" si="263"/>
        <v>95.283437365500518</v>
      </c>
      <c r="L607" s="349">
        <f t="shared" si="264"/>
        <v>1.5603011307138606</v>
      </c>
      <c r="M607" s="337">
        <f t="shared" si="248"/>
        <v>1.1421341855347704</v>
      </c>
      <c r="N607" s="340">
        <f t="shared" si="249"/>
        <v>0.50421526703041042</v>
      </c>
      <c r="O607" s="341">
        <f t="shared" si="250"/>
        <v>1.1155481144750903</v>
      </c>
      <c r="P607" s="342">
        <f t="shared" si="251"/>
        <v>0.89286352509459821</v>
      </c>
      <c r="Q607" s="343">
        <f t="shared" si="252"/>
        <v>-21.759265796436054</v>
      </c>
      <c r="R607" s="344">
        <f t="shared" si="253"/>
        <v>-163.43794340365292</v>
      </c>
      <c r="S607" s="346">
        <f t="shared" si="254"/>
        <v>16.562056596347077</v>
      </c>
      <c r="U607" s="319">
        <f t="shared" si="260"/>
        <v>575440</v>
      </c>
      <c r="V607" s="319">
        <f t="shared" si="261"/>
        <v>331131193600</v>
      </c>
      <c r="X607" s="345">
        <f t="shared" si="255"/>
        <v>0.21862458156091741</v>
      </c>
      <c r="Y607" s="346">
        <f t="shared" si="256"/>
        <v>-29.490728070721914</v>
      </c>
      <c r="AA607" s="345">
        <f t="shared" si="257"/>
        <v>11.245738490935404</v>
      </c>
      <c r="AB607" s="346">
        <f t="shared" si="258"/>
        <v>-133.94721533293102</v>
      </c>
      <c r="AD607">
        <f t="shared" si="262"/>
        <v>0</v>
      </c>
      <c r="AE607">
        <f t="shared" si="265"/>
        <v>0</v>
      </c>
    </row>
    <row r="608" spans="1:31" x14ac:dyDescent="0.2">
      <c r="A608" s="347">
        <v>630960</v>
      </c>
      <c r="B608" s="364">
        <f t="shared" si="259"/>
        <v>630.96</v>
      </c>
      <c r="C608" s="337">
        <f t="shared" si="240"/>
        <v>11.943963455739722</v>
      </c>
      <c r="D608" s="338">
        <f t="shared" si="241"/>
        <v>1.4869739007191367</v>
      </c>
      <c r="E608" s="338">
        <f t="shared" si="242"/>
        <v>1.0006941261427527</v>
      </c>
      <c r="F608" s="339">
        <f t="shared" si="243"/>
        <v>3.7248486443873609E-2</v>
      </c>
      <c r="G608" s="338">
        <f t="shared" si="244"/>
        <v>1</v>
      </c>
      <c r="H608" s="339">
        <f t="shared" si="245"/>
        <v>0</v>
      </c>
      <c r="I608" s="337">
        <f t="shared" si="246"/>
        <v>6850654.3663084442</v>
      </c>
      <c r="J608" s="340">
        <f t="shared" si="247"/>
        <v>1.5707961808234394</v>
      </c>
      <c r="K608" s="348">
        <f t="shared" si="263"/>
        <v>104.47567181796805</v>
      </c>
      <c r="L608" s="349">
        <f t="shared" si="264"/>
        <v>1.5612245743236948</v>
      </c>
      <c r="M608" s="337">
        <f t="shared" si="248"/>
        <v>1.1687844336629378</v>
      </c>
      <c r="N608" s="340">
        <f t="shared" si="249"/>
        <v>0.54410725345292377</v>
      </c>
      <c r="O608" s="341">
        <f t="shared" si="250"/>
        <v>1.1470965808874918</v>
      </c>
      <c r="P608" s="342">
        <f t="shared" si="251"/>
        <v>0.98005945088266311</v>
      </c>
      <c r="Q608" s="343">
        <f t="shared" si="252"/>
        <v>-22.994794334387741</v>
      </c>
      <c r="R608" s="344">
        <f t="shared" si="253"/>
        <v>-170.93987997454317</v>
      </c>
      <c r="S608" s="346">
        <f t="shared" si="254"/>
        <v>9.0601200254568255</v>
      </c>
      <c r="U608" s="319">
        <f t="shared" si="260"/>
        <v>630960</v>
      </c>
      <c r="V608" s="319">
        <f t="shared" si="261"/>
        <v>398110521600</v>
      </c>
      <c r="X608" s="345">
        <f t="shared" si="255"/>
        <v>1.8198338253749807E-2</v>
      </c>
      <c r="Y608" s="346">
        <f t="shared" si="256"/>
        <v>-31.723461917152221</v>
      </c>
      <c r="AA608" s="345">
        <f t="shared" si="257"/>
        <v>10.21063619629089</v>
      </c>
      <c r="AB608" s="346">
        <f t="shared" si="258"/>
        <v>-139.21641805739094</v>
      </c>
      <c r="AD608">
        <f t="shared" si="262"/>
        <v>0</v>
      </c>
      <c r="AE608">
        <f t="shared" si="265"/>
        <v>0</v>
      </c>
    </row>
    <row r="609" spans="1:31" x14ac:dyDescent="0.2">
      <c r="A609" s="347">
        <v>691830</v>
      </c>
      <c r="B609" s="364">
        <f t="shared" si="259"/>
        <v>691.83</v>
      </c>
      <c r="C609" s="337">
        <f t="shared" si="240"/>
        <v>13.088498000855699</v>
      </c>
      <c r="D609" s="338">
        <f t="shared" si="241"/>
        <v>1.4943188374317771</v>
      </c>
      <c r="E609" s="338">
        <f t="shared" si="242"/>
        <v>1.0008344552788659</v>
      </c>
      <c r="F609" s="339">
        <f t="shared" si="243"/>
        <v>4.083810545905877E-2</v>
      </c>
      <c r="G609" s="338">
        <f t="shared" si="244"/>
        <v>1</v>
      </c>
      <c r="H609" s="339">
        <f t="shared" si="245"/>
        <v>0</v>
      </c>
      <c r="I609" s="337">
        <f t="shared" si="246"/>
        <v>7511550.986184801</v>
      </c>
      <c r="J609" s="340">
        <f t="shared" si="247"/>
        <v>1.5707961936665984</v>
      </c>
      <c r="K609" s="348">
        <f t="shared" si="263"/>
        <v>114.55377050652258</v>
      </c>
      <c r="L609" s="349">
        <f t="shared" si="264"/>
        <v>1.5620666909498127</v>
      </c>
      <c r="M609" s="337">
        <f t="shared" si="248"/>
        <v>1.2000385141255625</v>
      </c>
      <c r="N609" s="340">
        <f t="shared" si="249"/>
        <v>0.58573392533060809</v>
      </c>
      <c r="O609" s="341">
        <f t="shared" si="250"/>
        <v>1.1880291162900487</v>
      </c>
      <c r="P609" s="342">
        <f t="shared" si="251"/>
        <v>1.0743435456605706</v>
      </c>
      <c r="Q609" s="343">
        <f t="shared" si="252"/>
        <v>-24.322227516245427</v>
      </c>
      <c r="R609" s="344">
        <f t="shared" si="253"/>
        <v>-178.89390816550414</v>
      </c>
      <c r="S609" s="346">
        <f t="shared" si="254"/>
        <v>1.1060918344958566</v>
      </c>
      <c r="U609" s="319">
        <f t="shared" si="260"/>
        <v>691830</v>
      </c>
      <c r="V609" s="319">
        <f t="shared" si="261"/>
        <v>478628748900</v>
      </c>
      <c r="X609" s="345">
        <f t="shared" si="255"/>
        <v>-0.21108391052610787</v>
      </c>
      <c r="Y609" s="346">
        <f t="shared" si="256"/>
        <v>-34.060245540914053</v>
      </c>
      <c r="AA609" s="345">
        <f t="shared" si="257"/>
        <v>9.1124852632130651</v>
      </c>
      <c r="AB609" s="346">
        <f t="shared" si="258"/>
        <v>-144.83366262459009</v>
      </c>
      <c r="AD609">
        <f t="shared" si="262"/>
        <v>0</v>
      </c>
      <c r="AE609">
        <f t="shared" si="265"/>
        <v>0</v>
      </c>
    </row>
    <row r="610" spans="1:31" x14ac:dyDescent="0.2">
      <c r="A610" s="347">
        <v>758580</v>
      </c>
      <c r="B610" s="364">
        <f t="shared" si="259"/>
        <v>758.58</v>
      </c>
      <c r="C610" s="337">
        <f t="shared" si="240"/>
        <v>14.34426968582939</v>
      </c>
      <c r="D610" s="338">
        <f t="shared" si="241"/>
        <v>1.5010254837085346</v>
      </c>
      <c r="E610" s="338">
        <f t="shared" si="242"/>
        <v>1.0010031605501968</v>
      </c>
      <c r="F610" s="339">
        <f t="shared" si="243"/>
        <v>4.4773265643780022E-2</v>
      </c>
      <c r="G610" s="338">
        <f t="shared" si="244"/>
        <v>1</v>
      </c>
      <c r="H610" s="339">
        <f t="shared" si="245"/>
        <v>0</v>
      </c>
      <c r="I610" s="337">
        <f t="shared" si="246"/>
        <v>8236289.7635258045</v>
      </c>
      <c r="J610" s="340">
        <f t="shared" si="247"/>
        <v>1.5707962053810041</v>
      </c>
      <c r="K610" s="348">
        <f t="shared" si="263"/>
        <v>125.60548425182455</v>
      </c>
      <c r="L610" s="349">
        <f t="shared" si="264"/>
        <v>1.5628348068793083</v>
      </c>
      <c r="M610" s="337">
        <f t="shared" si="248"/>
        <v>1.2365728247705825</v>
      </c>
      <c r="N610" s="340">
        <f t="shared" si="249"/>
        <v>0.62888023980152075</v>
      </c>
      <c r="O610" s="341">
        <f t="shared" si="250"/>
        <v>1.2411550963546565</v>
      </c>
      <c r="P610" s="342">
        <f t="shared" si="251"/>
        <v>1.175404326199017</v>
      </c>
      <c r="Q610" s="343">
        <f t="shared" si="252"/>
        <v>-25.75706148177705</v>
      </c>
      <c r="R610" s="344">
        <f t="shared" si="253"/>
        <v>-187.27115142125692</v>
      </c>
      <c r="S610" s="346">
        <f t="shared" si="254"/>
        <v>-7.271151421256917</v>
      </c>
      <c r="U610" s="319">
        <f t="shared" si="260"/>
        <v>758580</v>
      </c>
      <c r="V610" s="319">
        <f t="shared" si="261"/>
        <v>575443616400</v>
      </c>
      <c r="X610" s="345">
        <f t="shared" si="255"/>
        <v>-0.47162986268490703</v>
      </c>
      <c r="Y610" s="346">
        <f t="shared" si="256"/>
        <v>-36.48833813466522</v>
      </c>
      <c r="AA610" s="345">
        <f t="shared" si="257"/>
        <v>7.9381972498402362</v>
      </c>
      <c r="AB610" s="346">
        <f t="shared" si="258"/>
        <v>-150.78281328659168</v>
      </c>
      <c r="AD610">
        <f t="shared" si="262"/>
        <v>0</v>
      </c>
      <c r="AE610">
        <f t="shared" si="265"/>
        <v>0</v>
      </c>
    </row>
    <row r="611" spans="1:31" x14ac:dyDescent="0.2">
      <c r="A611" s="347">
        <v>831760</v>
      </c>
      <c r="B611" s="364">
        <f t="shared" si="259"/>
        <v>831.76</v>
      </c>
      <c r="C611" s="337">
        <f t="shared" si="240"/>
        <v>15.721626587130178</v>
      </c>
      <c r="D611" s="338">
        <f t="shared" si="241"/>
        <v>1.5071467084778984</v>
      </c>
      <c r="E611" s="338">
        <f t="shared" si="242"/>
        <v>1.0012059234077053</v>
      </c>
      <c r="F611" s="339">
        <f t="shared" si="243"/>
        <v>4.9085899756038415E-2</v>
      </c>
      <c r="G611" s="338">
        <f t="shared" si="244"/>
        <v>1</v>
      </c>
      <c r="H611" s="339">
        <f t="shared" si="245"/>
        <v>0</v>
      </c>
      <c r="I611" s="337">
        <f t="shared" si="246"/>
        <v>9030842.3287065513</v>
      </c>
      <c r="J611" s="340">
        <f t="shared" si="247"/>
        <v>1.5707962160632545</v>
      </c>
      <c r="K611" s="348">
        <f t="shared" si="263"/>
        <v>137.72187586268464</v>
      </c>
      <c r="L611" s="349">
        <f t="shared" si="264"/>
        <v>1.563535252394114</v>
      </c>
      <c r="M611" s="337">
        <f t="shared" si="248"/>
        <v>1.2791102869463584</v>
      </c>
      <c r="N611" s="340">
        <f t="shared" si="249"/>
        <v>0.67325947814993126</v>
      </c>
      <c r="O611" s="341">
        <f t="shared" si="250"/>
        <v>1.3099668366472745</v>
      </c>
      <c r="P611" s="342">
        <f t="shared" si="251"/>
        <v>1.2824635462792915</v>
      </c>
      <c r="Q611" s="343">
        <f t="shared" si="252"/>
        <v>-27.314180055157138</v>
      </c>
      <c r="R611" s="344">
        <f t="shared" si="253"/>
        <v>-196.01142860696476</v>
      </c>
      <c r="S611" s="346">
        <f t="shared" si="254"/>
        <v>-16.011428606964756</v>
      </c>
      <c r="U611" s="319">
        <f t="shared" si="260"/>
        <v>831760</v>
      </c>
      <c r="V611" s="319">
        <f t="shared" si="261"/>
        <v>691824697600</v>
      </c>
      <c r="X611" s="345">
        <f t="shared" si="255"/>
        <v>-0.76544204179078656</v>
      </c>
      <c r="Y611" s="346">
        <f t="shared" si="256"/>
        <v>-38.990949233164571</v>
      </c>
      <c r="AA611" s="345">
        <f t="shared" si="257"/>
        <v>6.67489085556603</v>
      </c>
      <c r="AB611" s="346">
        <f t="shared" si="258"/>
        <v>-157.02047937380019</v>
      </c>
      <c r="AD611">
        <f t="shared" si="262"/>
        <v>0</v>
      </c>
      <c r="AE611">
        <f t="shared" si="265"/>
        <v>0</v>
      </c>
    </row>
    <row r="612" spans="1:31" x14ac:dyDescent="0.2">
      <c r="A612" s="347">
        <v>912010</v>
      </c>
      <c r="B612" s="364">
        <f t="shared" si="259"/>
        <v>912.01</v>
      </c>
      <c r="C612" s="337">
        <f t="shared" si="240"/>
        <v>17.232615147650904</v>
      </c>
      <c r="D612" s="338">
        <f t="shared" si="241"/>
        <v>1.5127342113991691</v>
      </c>
      <c r="E612" s="338">
        <f t="shared" si="242"/>
        <v>1.0014496727301805</v>
      </c>
      <c r="F612" s="339">
        <f t="shared" si="243"/>
        <v>5.381307650326133E-2</v>
      </c>
      <c r="G612" s="338">
        <f t="shared" si="244"/>
        <v>1</v>
      </c>
      <c r="H612" s="339">
        <f t="shared" si="245"/>
        <v>0</v>
      </c>
      <c r="I612" s="337">
        <f t="shared" si="246"/>
        <v>9902157.487981692</v>
      </c>
      <c r="J612" s="340">
        <f t="shared" si="247"/>
        <v>1.5707962258068038</v>
      </c>
      <c r="K612" s="348">
        <f t="shared" si="263"/>
        <v>151.00890995554238</v>
      </c>
      <c r="L612" s="349">
        <f t="shared" si="264"/>
        <v>1.5641741525854609</v>
      </c>
      <c r="M612" s="337">
        <f t="shared" si="248"/>
        <v>1.3284553955008176</v>
      </c>
      <c r="N612" s="340">
        <f t="shared" si="249"/>
        <v>0.71856083269958393</v>
      </c>
      <c r="O612" s="341">
        <f t="shared" si="250"/>
        <v>1.3987857527960947</v>
      </c>
      <c r="P612" s="342">
        <f t="shared" si="251"/>
        <v>1.3943244378634276</v>
      </c>
      <c r="Q612" s="343">
        <f t="shared" si="252"/>
        <v>-29.007776138596405</v>
      </c>
      <c r="R612" s="344">
        <f t="shared" si="253"/>
        <v>-205.02884935207851</v>
      </c>
      <c r="S612" s="346">
        <f t="shared" si="254"/>
        <v>-25.02884935207851</v>
      </c>
      <c r="U612" s="319">
        <f t="shared" si="260"/>
        <v>912010</v>
      </c>
      <c r="V612" s="319">
        <f t="shared" si="261"/>
        <v>831762240100</v>
      </c>
      <c r="X612" s="345">
        <f t="shared" si="255"/>
        <v>-1.0942602716941954</v>
      </c>
      <c r="Y612" s="346">
        <f t="shared" si="256"/>
        <v>-41.549919931779442</v>
      </c>
      <c r="AA612" s="345">
        <f t="shared" si="257"/>
        <v>5.310113002030171</v>
      </c>
      <c r="AB612" s="346">
        <f t="shared" si="258"/>
        <v>-163.47892942029907</v>
      </c>
      <c r="AD612">
        <f t="shared" si="262"/>
        <v>0</v>
      </c>
      <c r="AE612">
        <f t="shared" si="265"/>
        <v>0</v>
      </c>
    </row>
    <row r="613" spans="1:31" x14ac:dyDescent="0.2">
      <c r="A613" s="347">
        <v>1000000</v>
      </c>
      <c r="B613" s="364">
        <f t="shared" si="259"/>
        <v>1000</v>
      </c>
      <c r="C613" s="337">
        <f t="shared" si="240"/>
        <v>18.889851075921332</v>
      </c>
      <c r="D613" s="338">
        <f t="shared" si="241"/>
        <v>1.5178330892104617</v>
      </c>
      <c r="E613" s="338">
        <f t="shared" si="242"/>
        <v>1.0017426380920147</v>
      </c>
      <c r="F613" s="339">
        <f t="shared" si="243"/>
        <v>5.8993409687243287E-2</v>
      </c>
      <c r="G613" s="338">
        <f t="shared" si="244"/>
        <v>1</v>
      </c>
      <c r="H613" s="339">
        <f t="shared" si="245"/>
        <v>0</v>
      </c>
      <c r="I613" s="337">
        <f t="shared" si="246"/>
        <v>10857509.772899074</v>
      </c>
      <c r="J613" s="340">
        <f t="shared" si="247"/>
        <v>1.570796234692746</v>
      </c>
      <c r="K613" s="348">
        <f t="shared" si="263"/>
        <v>165.57751878675563</v>
      </c>
      <c r="L613" s="349">
        <f t="shared" si="264"/>
        <v>1.5647568228415745</v>
      </c>
      <c r="M613" s="337">
        <f t="shared" si="248"/>
        <v>1.3854551610527757</v>
      </c>
      <c r="N613" s="340">
        <f t="shared" si="249"/>
        <v>0.7644192072798095</v>
      </c>
      <c r="O613" s="341">
        <f t="shared" si="250"/>
        <v>1.5127788333950198</v>
      </c>
      <c r="P613" s="342">
        <f t="shared" si="251"/>
        <v>1.5093007908072467</v>
      </c>
      <c r="Q613" s="343">
        <f t="shared" si="252"/>
        <v>-30.848209205962753</v>
      </c>
      <c r="R613" s="344">
        <f t="shared" si="253"/>
        <v>-214.20594936235932</v>
      </c>
      <c r="S613" s="346">
        <f t="shared" si="254"/>
        <v>-34.20594936235932</v>
      </c>
      <c r="U613" s="319">
        <f t="shared" si="260"/>
        <v>1000000</v>
      </c>
      <c r="V613" s="319">
        <f t="shared" si="261"/>
        <v>1000000000000</v>
      </c>
      <c r="X613" s="345">
        <f t="shared" si="255"/>
        <v>-1.4592022683075399</v>
      </c>
      <c r="Y613" s="346">
        <f t="shared" si="256"/>
        <v>-44.144027216124449</v>
      </c>
      <c r="AA613" s="345">
        <f t="shared" si="257"/>
        <v>3.8346219312771668</v>
      </c>
      <c r="AB613" s="346">
        <f t="shared" si="258"/>
        <v>-170.06192214623488</v>
      </c>
      <c r="AD613">
        <f t="shared" si="262"/>
        <v>0</v>
      </c>
      <c r="AE613">
        <f t="shared" si="265"/>
        <v>0</v>
      </c>
    </row>
    <row r="614" spans="1:31" x14ac:dyDescent="0.2">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
      <c r="A616" s="319" t="s">
        <v>362</v>
      </c>
      <c r="G616" s="338"/>
      <c r="H616" s="339"/>
      <c r="Q616" s="343"/>
      <c r="R616" s="344"/>
      <c r="S616" s="353"/>
      <c r="AA616" s="345"/>
      <c r="AB616" s="346"/>
    </row>
    <row r="617" spans="1:31" x14ac:dyDescent="0.2">
      <c r="A617" s="354">
        <f>Q4*1000</f>
        <v>30551.5</v>
      </c>
      <c r="B617" s="354"/>
      <c r="C617" s="355">
        <f t="shared" ref="C617:C626" si="266">SQRT(1+(A617/pole1)^2)</f>
        <v>1.1541777808205158</v>
      </c>
      <c r="D617" s="348">
        <f t="shared" ref="D617:D626" si="267">ATAN(A617/pole1)</f>
        <v>0.52281375032269151</v>
      </c>
      <c r="E617" s="348">
        <f t="shared" ref="E617:E626" si="268">SQRT(1+(A617/Zero1)^2)</f>
        <v>1.0000016279841393</v>
      </c>
      <c r="F617" s="349">
        <f t="shared" ref="F617:F626" si="269">ATAN(A617/Zero1)</f>
        <v>1.8044289571260215E-3</v>
      </c>
      <c r="G617" s="338">
        <f>IF(VIN_nom&gt;Vout, 1, SQRT(1+(A617/z_RHP)^2))</f>
        <v>1</v>
      </c>
      <c r="H617" s="339">
        <f>IF(VIN_nom&gt;Vout, 0, -ATAN(A617/z_RHP))</f>
        <v>0</v>
      </c>
      <c r="I617" s="355">
        <f t="shared" ref="I617:I626" si="270">SQRT(1+(A617/Pole2)^2)</f>
        <v>331713.20982823201</v>
      </c>
      <c r="J617" s="356">
        <f t="shared" ref="J617:J626" si="271">ATAN(A617/Pole2)</f>
        <v>1.5707933121425692</v>
      </c>
      <c r="K617" s="348">
        <f t="shared" ref="K617:K626" si="272">SQRT(1+(A617/Zero2)^2)</f>
        <v>5.1564446172875842</v>
      </c>
      <c r="L617" s="349">
        <f t="shared" ref="L617:L626" si="273">ATAN(A617/Zero2)</f>
        <v>1.3756275868067671</v>
      </c>
      <c r="M617" s="355">
        <f t="shared" ref="M617:M626" si="274">SQRT(1+(A617/pole4)^2)</f>
        <v>1.0004290293961609</v>
      </c>
      <c r="N617" s="356">
        <f t="shared" ref="N617:N626" si="275">ATAN(A617/pole4)</f>
        <v>2.9287405613241207E-2</v>
      </c>
      <c r="O617" s="355">
        <f t="shared" ref="O617:O626" si="276">SQRT((1-(A617^2/(pole3^2)))^2+(A617/(Q*pole3))^2)</f>
        <v>1.0002177209273007</v>
      </c>
      <c r="P617" s="420">
        <f t="shared" ref="P617:P626" si="277">ATAN((A617/(Q*pole3))/(1-A617^2/pole3^2))</f>
        <v>4.6136623933666063E-2</v>
      </c>
      <c r="Q617" s="343">
        <f>20*LOG10(((E617*K617*G617)/(C617*I617*O617*M617))*Adc)</f>
        <v>3.8689117114587019E-3</v>
      </c>
      <c r="R617" s="344">
        <f>((F617+L617+H617)-(D617+J617+P617+N617))*radconv</f>
        <v>-45.355286187306795</v>
      </c>
      <c r="S617" s="346">
        <f t="shared" ref="S617:S626" si="278">IF(R617&gt;0,R617,R617+180)</f>
        <v>134.6447138126932</v>
      </c>
      <c r="T617" s="319" t="s">
        <v>363</v>
      </c>
      <c r="X617" s="345">
        <f t="shared" ref="X617:X626" si="279">20*LOG10((K617/(I617*M617))*AEA)</f>
        <v>1.5352505135557604</v>
      </c>
      <c r="Y617" s="346">
        <f t="shared" ref="Y617:Y626" si="280">(L617-(J617+N617))*radconv</f>
        <v>-12.860217116572324</v>
      </c>
      <c r="AA617" s="345">
        <f>20*LOG10((E617*G617/(C617*O617))*Acs*Am)</f>
        <v>31.692247267088078</v>
      </c>
      <c r="AB617" s="346">
        <f>(F617+H617-(D617+P617))*radconv</f>
        <v>-32.495069070734438</v>
      </c>
    </row>
    <row r="618" spans="1:31" x14ac:dyDescent="0.2">
      <c r="A618" s="354">
        <f>A617</f>
        <v>30551.5</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
      <c r="A619" s="319">
        <f>A618</f>
        <v>30551.5</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
      <c r="A620" s="354">
        <v>1000000</v>
      </c>
      <c r="B620" s="354"/>
      <c r="C620" s="355"/>
      <c r="D620" s="348"/>
      <c r="E620" s="348"/>
      <c r="F620" s="349"/>
      <c r="G620" s="338"/>
      <c r="H620" s="339"/>
      <c r="I620" s="355"/>
      <c r="J620" s="356"/>
      <c r="K620" s="348"/>
      <c r="L620" s="349"/>
      <c r="M620" s="337"/>
      <c r="N620" s="340"/>
      <c r="O620" s="355"/>
      <c r="P620" s="342"/>
      <c r="Q620" s="343"/>
      <c r="R620" s="344">
        <f>R617</f>
        <v>-45.355286187306795</v>
      </c>
      <c r="S620" s="346"/>
      <c r="X620" s="345"/>
      <c r="Y620" s="346"/>
      <c r="AA620" s="345"/>
      <c r="AB620" s="346"/>
    </row>
    <row r="621" spans="1:31" x14ac:dyDescent="0.2">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
      <c r="A622" s="429">
        <f>pole1</f>
        <v>53012.815686534734</v>
      </c>
      <c r="B622" s="354"/>
      <c r="C622" s="355">
        <f t="shared" si="266"/>
        <v>1.4142135623730951</v>
      </c>
      <c r="D622" s="348">
        <f t="shared" si="267"/>
        <v>0.78539816339744828</v>
      </c>
      <c r="E622" s="348">
        <f t="shared" si="268"/>
        <v>1.0000049016932133</v>
      </c>
      <c r="F622" s="349">
        <f t="shared" si="269"/>
        <v>3.1310296042297951E-3</v>
      </c>
      <c r="G622" s="338">
        <f t="shared" ref="G622:G628" si="281">IF(VIN_nom&gt;Vout, 1, SQRT(1+(A622/z_RHP)^2))</f>
        <v>1</v>
      </c>
      <c r="H622" s="339">
        <f t="shared" ref="H622:H628" si="282">IF(VIN_nom&gt;Vout, 0, -ATAN(A622/z_RHP))</f>
        <v>0</v>
      </c>
      <c r="I622" s="355">
        <f t="shared" si="270"/>
        <v>575587.16440631438</v>
      </c>
      <c r="J622" s="356">
        <f t="shared" si="271"/>
        <v>1.5707945894385729</v>
      </c>
      <c r="K622" s="348">
        <f t="shared" si="272"/>
        <v>8.8343501240055549</v>
      </c>
      <c r="L622" s="349">
        <f t="shared" si="273"/>
        <v>1.4573586779086254</v>
      </c>
      <c r="M622" s="337">
        <f t="shared" si="274"/>
        <v>1.0012912091004089</v>
      </c>
      <c r="N622" s="340">
        <f t="shared" si="275"/>
        <v>5.0790181703492081E-2</v>
      </c>
      <c r="O622" s="355">
        <f t="shared" si="276"/>
        <v>1.000657561470025</v>
      </c>
      <c r="P622" s="342">
        <f t="shared" si="277"/>
        <v>8.0078029214596738E-2</v>
      </c>
      <c r="Q622" s="343">
        <f t="shared" ref="Q622:Q628" si="283">20*LOG10(((E622*K622*G622)/(C622*I622*O622*M622))*Adc)</f>
        <v>-1.8827312018496456</v>
      </c>
      <c r="R622" s="344">
        <f t="shared" ref="R622:R628" si="284">((F622+L622+H622)-(D622+J622+P622+N622))*radconv</f>
        <v>-58.818200419276458</v>
      </c>
      <c r="S622" s="346">
        <f t="shared" si="278"/>
        <v>121.18179958072355</v>
      </c>
      <c r="T622" s="319" t="s">
        <v>337</v>
      </c>
      <c r="X622" s="345">
        <f t="shared" si="279"/>
        <v>1.417286468664082</v>
      </c>
      <c r="Y622" s="346">
        <f t="shared" si="280"/>
        <v>-9.4094620389499344</v>
      </c>
      <c r="AA622" s="345">
        <f t="shared" ref="AA622:AA628" si="285">20*LOG10((E622*G622/(C622*O622))*Acs*Am)</f>
        <v>29.923611198418651</v>
      </c>
      <c r="AB622" s="346">
        <f t="shared" ref="AB622:AB628" si="286">(F622+H622-(D622+P622))*radconv</f>
        <v>-49.408738380326525</v>
      </c>
    </row>
    <row r="623" spans="1:31" x14ac:dyDescent="0.2">
      <c r="A623" s="429">
        <f>Zero1</f>
        <v>16931376.944016635</v>
      </c>
      <c r="B623" s="354"/>
      <c r="C623" s="355">
        <f t="shared" si="266"/>
        <v>319.38427938911929</v>
      </c>
      <c r="D623" s="348">
        <f t="shared" si="267"/>
        <v>1.5676652971906668</v>
      </c>
      <c r="E623" s="348">
        <f t="shared" si="268"/>
        <v>1.4142135623730951</v>
      </c>
      <c r="F623" s="349">
        <f t="shared" si="269"/>
        <v>0.78539816339744828</v>
      </c>
      <c r="G623" s="338">
        <f t="shared" si="281"/>
        <v>1</v>
      </c>
      <c r="H623" s="339">
        <f t="shared" si="282"/>
        <v>0</v>
      </c>
      <c r="I623" s="355">
        <f t="shared" si="270"/>
        <v>183832590.63829789</v>
      </c>
      <c r="J623" s="356">
        <f t="shared" si="271"/>
        <v>1.5707963213551648</v>
      </c>
      <c r="K623" s="348">
        <f t="shared" si="272"/>
        <v>2803.4044336737275</v>
      </c>
      <c r="L623" s="349">
        <f t="shared" si="273"/>
        <v>1.5704396176418414</v>
      </c>
      <c r="M623" s="337">
        <f t="shared" si="274"/>
        <v>16.266236656992767</v>
      </c>
      <c r="N623" s="340">
        <f t="shared" si="275"/>
        <v>1.5092805011539587</v>
      </c>
      <c r="O623" s="355">
        <f t="shared" si="276"/>
        <v>260.27808915732737</v>
      </c>
      <c r="P623" s="342">
        <f t="shared" si="277"/>
        <v>-9.8380539576281026E-2</v>
      </c>
      <c r="Q623" s="343">
        <f t="shared" si="283"/>
        <v>-118.5220259728915</v>
      </c>
      <c r="R623" s="344">
        <f t="shared" si="284"/>
        <v>-125.6796560926381</v>
      </c>
      <c r="S623" s="346">
        <f t="shared" si="278"/>
        <v>54.320343907361902</v>
      </c>
      <c r="T623" s="319" t="s">
        <v>332</v>
      </c>
      <c r="X623" s="345">
        <f t="shared" si="279"/>
        <v>-22.853252362869757</v>
      </c>
      <c r="Y623" s="346">
        <f t="shared" si="280"/>
        <v>-86.495840533657585</v>
      </c>
      <c r="AA623" s="345">
        <f t="shared" si="285"/>
        <v>-62.445144741089365</v>
      </c>
      <c r="AB623" s="346">
        <f t="shared" si="286"/>
        <v>-39.183815558980484</v>
      </c>
    </row>
    <row r="624" spans="1:31" x14ac:dyDescent="0.2">
      <c r="A624" s="429">
        <f>Pole2</f>
        <v>9.2102150577479364E-2</v>
      </c>
      <c r="B624" s="354"/>
      <c r="C624" s="355">
        <f t="shared" si="266"/>
        <v>1.0000000000015092</v>
      </c>
      <c r="D624" s="348">
        <f t="shared" si="267"/>
        <v>1.7373563238366277E-6</v>
      </c>
      <c r="E624" s="348">
        <f t="shared" si="268"/>
        <v>1</v>
      </c>
      <c r="F624" s="349">
        <f t="shared" si="269"/>
        <v>5.4397318589039656E-9</v>
      </c>
      <c r="G624" s="338">
        <f t="shared" si="281"/>
        <v>1</v>
      </c>
      <c r="H624" s="339">
        <f t="shared" si="282"/>
        <v>0</v>
      </c>
      <c r="I624" s="355">
        <f t="shared" si="270"/>
        <v>1.4142135623730951</v>
      </c>
      <c r="J624" s="356">
        <f t="shared" si="271"/>
        <v>0.78539816339744828</v>
      </c>
      <c r="K624" s="348">
        <f t="shared" si="272"/>
        <v>1.0000000001162777</v>
      </c>
      <c r="L624" s="349">
        <f t="shared" si="273"/>
        <v>1.5249767439864385E-5</v>
      </c>
      <c r="M624" s="337">
        <f t="shared" si="274"/>
        <v>1.000000000000004</v>
      </c>
      <c r="N624" s="340">
        <f t="shared" si="275"/>
        <v>8.8316598186580811E-8</v>
      </c>
      <c r="O624" s="355">
        <f t="shared" si="276"/>
        <v>1.000000000000002</v>
      </c>
      <c r="P624" s="342">
        <f t="shared" si="277"/>
        <v>1.3906681437403527E-7</v>
      </c>
      <c r="Q624" s="343">
        <f t="shared" si="283"/>
        <v>94.412873784999789</v>
      </c>
      <c r="R624" s="344">
        <f t="shared" si="284"/>
        <v>-44.999238563727317</v>
      </c>
      <c r="S624" s="346">
        <f t="shared" si="278"/>
        <v>135.00076143627268</v>
      </c>
      <c r="T624" s="319" t="s">
        <v>340</v>
      </c>
      <c r="W624" s="319">
        <f>Pole2</f>
        <v>9.2102150577479364E-2</v>
      </c>
      <c r="X624" s="345">
        <f t="shared" si="279"/>
        <v>94.696924445000377</v>
      </c>
      <c r="Y624" s="346">
        <f t="shared" si="280"/>
        <v>-44.999131364274476</v>
      </c>
      <c r="AA624" s="345">
        <f t="shared" si="285"/>
        <v>32.939578208931806</v>
      </c>
      <c r="AB624" s="346">
        <f t="shared" si="286"/>
        <v>-1.0719945284545932E-4</v>
      </c>
    </row>
    <row r="625" spans="1:28" x14ac:dyDescent="0.2">
      <c r="A625" s="429">
        <f>Zero2</f>
        <v>6039.577385919717</v>
      </c>
      <c r="B625" s="354"/>
      <c r="C625" s="355">
        <f t="shared" si="266"/>
        <v>1.0064687290660808</v>
      </c>
      <c r="D625" s="348">
        <f t="shared" si="267"/>
        <v>0.11343764888627121</v>
      </c>
      <c r="E625" s="348">
        <f t="shared" si="268"/>
        <v>1.0000000636207134</v>
      </c>
      <c r="F625" s="349">
        <f t="shared" si="269"/>
        <v>3.5670915305518422E-4</v>
      </c>
      <c r="G625" s="338">
        <f t="shared" si="281"/>
        <v>1</v>
      </c>
      <c r="H625" s="339">
        <f t="shared" si="282"/>
        <v>0</v>
      </c>
      <c r="I625" s="355">
        <f t="shared" si="270"/>
        <v>65574.770499428167</v>
      </c>
      <c r="J625" s="356">
        <f t="shared" si="271"/>
        <v>1.5707810770274568</v>
      </c>
      <c r="K625" s="348">
        <f t="shared" si="272"/>
        <v>1.4142135623730951</v>
      </c>
      <c r="L625" s="349">
        <f t="shared" si="273"/>
        <v>0.78539816339744828</v>
      </c>
      <c r="M625" s="337">
        <f t="shared" si="274"/>
        <v>1.00001676967269</v>
      </c>
      <c r="N625" s="340">
        <f t="shared" si="275"/>
        <v>5.791275911537057E-3</v>
      </c>
      <c r="O625" s="355">
        <f t="shared" si="276"/>
        <v>1.000008495838107</v>
      </c>
      <c r="P625" s="342">
        <f t="shared" si="277"/>
        <v>9.119323356807341E-3</v>
      </c>
      <c r="Q625" s="343">
        <f t="shared" si="283"/>
        <v>4.0425134932986877</v>
      </c>
      <c r="R625" s="344">
        <f t="shared" si="284"/>
        <v>-52.332501310659232</v>
      </c>
      <c r="S625" s="346">
        <f t="shared" si="278"/>
        <v>127.66749868934076</v>
      </c>
      <c r="T625" s="319" t="s">
        <v>335</v>
      </c>
      <c r="W625" s="319">
        <f>Zero2</f>
        <v>6039.577385919717</v>
      </c>
      <c r="X625" s="345">
        <f t="shared" si="279"/>
        <v>4.3826431128042493</v>
      </c>
      <c r="Y625" s="346">
        <f t="shared" si="280"/>
        <v>-45.330941972212152</v>
      </c>
      <c r="AA625" s="345">
        <f t="shared" si="285"/>
        <v>32.883499249426819</v>
      </c>
      <c r="AB625" s="346">
        <f t="shared" si="286"/>
        <v>-7.0015593384470778</v>
      </c>
    </row>
    <row r="626" spans="1:28" x14ac:dyDescent="0.2">
      <c r="A626" s="429">
        <f>pole3</f>
        <v>1050000</v>
      </c>
      <c r="B626" s="354"/>
      <c r="C626" s="355">
        <f t="shared" si="266"/>
        <v>19.831759559396417</v>
      </c>
      <c r="D626" s="348">
        <f t="shared" si="267"/>
        <v>1.520350765031252</v>
      </c>
      <c r="E626" s="348">
        <f t="shared" si="268"/>
        <v>1.0019210872374793</v>
      </c>
      <c r="F626" s="349">
        <f t="shared" si="269"/>
        <v>6.1935721367190132E-2</v>
      </c>
      <c r="G626" s="338">
        <f t="shared" si="281"/>
        <v>1</v>
      </c>
      <c r="H626" s="339">
        <f t="shared" si="282"/>
        <v>0</v>
      </c>
      <c r="I626" s="355">
        <f t="shared" si="270"/>
        <v>11400385.261544023</v>
      </c>
      <c r="J626" s="356">
        <f t="shared" si="271"/>
        <v>1.5707962390785628</v>
      </c>
      <c r="K626" s="348">
        <f t="shared" si="272"/>
        <v>173.85609994232357</v>
      </c>
      <c r="L626" s="349">
        <f t="shared" si="273"/>
        <v>1.5650444117660838</v>
      </c>
      <c r="M626" s="337">
        <f t="shared" si="274"/>
        <v>1.4190607170324916</v>
      </c>
      <c r="N626" s="340">
        <f t="shared" si="275"/>
        <v>0.78880810476264007</v>
      </c>
      <c r="O626" s="355">
        <f t="shared" si="276"/>
        <v>1.5854152609596222</v>
      </c>
      <c r="P626" s="342" t="e">
        <f t="shared" si="277"/>
        <v>#DIV/0!</v>
      </c>
      <c r="Q626" s="343">
        <f t="shared" si="283"/>
        <v>-31.88485302801606</v>
      </c>
      <c r="R626" s="344" t="e">
        <f t="shared" si="284"/>
        <v>#DIV/0!</v>
      </c>
      <c r="S626" s="346" t="e">
        <f t="shared" si="278"/>
        <v>#DIV/0!</v>
      </c>
      <c r="T626" s="319" t="s">
        <v>333</v>
      </c>
      <c r="X626" s="345">
        <f t="shared" si="279"/>
        <v>-1.6673870577668244</v>
      </c>
      <c r="Y626" s="346">
        <f t="shared" si="280"/>
        <v>-45.52493073012549</v>
      </c>
      <c r="AA626" s="345">
        <f t="shared" si="285"/>
        <v>3.0061628986831441</v>
      </c>
      <c r="AB626" s="346" t="e">
        <f t="shared" si="286"/>
        <v>#DIV/0!</v>
      </c>
    </row>
    <row r="627" spans="1:28" ht="13.5" thickBot="1" x14ac:dyDescent="0.25">
      <c r="A627" s="406">
        <f>Fp2_u</f>
        <v>1042863.4307551206</v>
      </c>
      <c r="C627" s="355">
        <f>SQRT(1+(A627/pole1)^2)</f>
        <v>19.697312281653147</v>
      </c>
      <c r="D627" s="348">
        <f>ATAN(A627/pole1)</f>
        <v>1.5200061450914046</v>
      </c>
      <c r="E627" s="348">
        <f>SQRT(1+(A627/Zero1)^2)</f>
        <v>1.0018950863639526</v>
      </c>
      <c r="F627" s="349">
        <f>ATAN(A627/Zero1)</f>
        <v>6.1515825640937993E-2</v>
      </c>
      <c r="G627" s="338">
        <f t="shared" si="281"/>
        <v>1</v>
      </c>
      <c r="H627" s="339">
        <f t="shared" si="282"/>
        <v>0</v>
      </c>
      <c r="I627" s="355">
        <f>SQRT(1+(A627/Pole2)^2)</f>
        <v>11322899.891222775</v>
      </c>
      <c r="J627" s="356">
        <f>ATAN(A627/Pole2)</f>
        <v>1.5707962384782985</v>
      </c>
      <c r="K627" s="348">
        <f>SQRT(1+(A627/Zero2)^2)</f>
        <v>172.67448574544642</v>
      </c>
      <c r="L627" s="349">
        <f>ATAN(A627/Zero2)</f>
        <v>1.5650050508833595</v>
      </c>
      <c r="M627" s="337">
        <f>SQRT(1+(A627/pole4)^2)</f>
        <v>1.4142135623730951</v>
      </c>
      <c r="N627" s="340">
        <f>ATAN(A627/pole4)</f>
        <v>0.78539816339744828</v>
      </c>
      <c r="O627" s="355">
        <f>SQRT((1-(A627^2/(pole3^2)))^2+(A627/(Q*pole3))^2)</f>
        <v>1.5746978926252382</v>
      </c>
      <c r="P627" s="342">
        <f>ATAN((A627/(Q*pole3))/(1-A627^2/pole3^2))</f>
        <v>1.5621931294223246</v>
      </c>
      <c r="Q627" s="343">
        <f t="shared" si="283"/>
        <v>-31.737355540463046</v>
      </c>
      <c r="R627" s="344">
        <f t="shared" si="284"/>
        <v>-218.40422372255426</v>
      </c>
      <c r="S627" s="346">
        <f>IF(R627&gt;0,R627,R627+180)</f>
        <v>-38.404223722554264</v>
      </c>
      <c r="T627" s="319" t="s">
        <v>345</v>
      </c>
      <c r="X627" s="357"/>
      <c r="Y627" s="358"/>
      <c r="AA627" s="345">
        <f t="shared" si="285"/>
        <v>3.1239388113248996</v>
      </c>
      <c r="AB627" s="346">
        <f t="shared" si="286"/>
        <v>-173.07241306319659</v>
      </c>
    </row>
    <row r="628" spans="1:28" x14ac:dyDescent="0.2">
      <c r="A628" s="406">
        <f>z_RHP</f>
        <v>0</v>
      </c>
      <c r="C628" s="355">
        <f>SQRT(1+(A628/pole1)^2)</f>
        <v>1</v>
      </c>
      <c r="D628" s="348">
        <f>ATAN(A628/pole1)</f>
        <v>0</v>
      </c>
      <c r="E628" s="348">
        <f>SQRT(1+(A628/Zero1)^2)</f>
        <v>1</v>
      </c>
      <c r="F628" s="349">
        <f>ATAN(A628/Zero1)</f>
        <v>0</v>
      </c>
      <c r="G628" s="338">
        <f t="shared" si="281"/>
        <v>1</v>
      </c>
      <c r="H628" s="339">
        <f t="shared" si="282"/>
        <v>0</v>
      </c>
      <c r="I628" s="355">
        <f>SQRT(1+(A628/Pole2)^2)</f>
        <v>1</v>
      </c>
      <c r="J628" s="356">
        <f>ATAN(A628/Pole2)</f>
        <v>0</v>
      </c>
      <c r="K628" s="348">
        <f>SQRT(1+(A628/Zero2)^2)</f>
        <v>1</v>
      </c>
      <c r="L628" s="349">
        <f>ATAN(A628/Zero2)</f>
        <v>0</v>
      </c>
      <c r="M628" s="337">
        <f>SQRT(1+(A628/pole4)^2)</f>
        <v>1</v>
      </c>
      <c r="N628" s="340">
        <f>ATAN(A628/pole4)</f>
        <v>0</v>
      </c>
      <c r="O628" s="355">
        <f>SQRT((1-(A628^2/(pole3^2)))^2+(A628/(Q*pole3))^2)</f>
        <v>1</v>
      </c>
      <c r="P628" s="342">
        <f>ATAN((A628/(Q*pole3))/(1-A628^2/pole3^2))</f>
        <v>0</v>
      </c>
      <c r="Q628" s="343">
        <f t="shared" si="283"/>
        <v>97.423173740642795</v>
      </c>
      <c r="R628" s="344">
        <f t="shared" si="284"/>
        <v>0</v>
      </c>
      <c r="S628" s="346">
        <f>IF(R628&gt;0,R628,R628+180)</f>
        <v>180</v>
      </c>
      <c r="T628" s="319" t="s">
        <v>439</v>
      </c>
      <c r="X628" s="353"/>
      <c r="Y628" s="353"/>
      <c r="AA628" s="345">
        <f t="shared" si="285"/>
        <v>32.93957820894493</v>
      </c>
      <c r="AB628" s="346">
        <f t="shared" si="286"/>
        <v>0</v>
      </c>
    </row>
    <row r="629" spans="1:28" x14ac:dyDescent="0.2">
      <c r="A629" s="406">
        <f>Fp2_u</f>
        <v>1042863.4307551206</v>
      </c>
      <c r="Q629" s="343">
        <v>-25</v>
      </c>
    </row>
    <row r="631" spans="1:28" x14ac:dyDescent="0.2">
      <c r="D631" s="319" t="s">
        <v>364</v>
      </c>
      <c r="E631" s="319" t="s">
        <v>365</v>
      </c>
    </row>
    <row r="632" spans="1:28" x14ac:dyDescent="0.2">
      <c r="A632" s="319" t="s">
        <v>337</v>
      </c>
      <c r="B632" s="319" t="s">
        <v>436</v>
      </c>
      <c r="C632" s="359">
        <f>pole1</f>
        <v>53012.815686534734</v>
      </c>
      <c r="D632" s="359">
        <f>Q622</f>
        <v>-1.8827312018496456</v>
      </c>
      <c r="E632" s="359">
        <f>AA622</f>
        <v>29.923611198418651</v>
      </c>
    </row>
    <row r="633" spans="1:28" x14ac:dyDescent="0.2">
      <c r="A633" s="319" t="s">
        <v>332</v>
      </c>
      <c r="B633" s="319" t="s">
        <v>446</v>
      </c>
      <c r="C633" s="359">
        <f>Zero1</f>
        <v>16931376.944016635</v>
      </c>
      <c r="D633" s="359">
        <f>Q623</f>
        <v>-118.5220259728915</v>
      </c>
      <c r="E633" s="359">
        <f>AA623</f>
        <v>-62.445144741089365</v>
      </c>
    </row>
    <row r="634" spans="1:28" x14ac:dyDescent="0.2">
      <c r="A634" s="319" t="s">
        <v>340</v>
      </c>
      <c r="B634" s="319" t="s">
        <v>447</v>
      </c>
      <c r="C634" s="359">
        <f>Pole2</f>
        <v>9.2102150577479364E-2</v>
      </c>
      <c r="D634" s="359">
        <f>Q624</f>
        <v>94.412873784999789</v>
      </c>
      <c r="E634" s="359">
        <f>AA624</f>
        <v>32.939578208931806</v>
      </c>
    </row>
    <row r="635" spans="1:28" x14ac:dyDescent="0.2">
      <c r="A635" s="319" t="s">
        <v>335</v>
      </c>
      <c r="B635" s="319" t="s">
        <v>448</v>
      </c>
      <c r="C635" s="359">
        <f>Zero2</f>
        <v>6039.577385919717</v>
      </c>
      <c r="D635" s="359">
        <f>Q625</f>
        <v>4.0425134932986877</v>
      </c>
      <c r="E635" s="359">
        <f>AA625</f>
        <v>32.883499249426819</v>
      </c>
    </row>
    <row r="636" spans="1:28" x14ac:dyDescent="0.2">
      <c r="A636" s="319" t="s">
        <v>333</v>
      </c>
      <c r="B636" s="319" t="s">
        <v>445</v>
      </c>
      <c r="C636" s="319">
        <f>pole3</f>
        <v>1050000</v>
      </c>
      <c r="D636" s="359">
        <f>Q626</f>
        <v>-31.88485302801606</v>
      </c>
      <c r="E636" s="359">
        <f>AA626</f>
        <v>3.0061628986831441</v>
      </c>
    </row>
    <row r="637" spans="1:28" x14ac:dyDescent="0.2">
      <c r="C637" s="406"/>
      <c r="D637" s="359"/>
      <c r="E637" s="359"/>
    </row>
    <row r="639" spans="1:28" x14ac:dyDescent="0.2">
      <c r="A639" s="359">
        <f>Q4*1000</f>
        <v>30551.5</v>
      </c>
    </row>
    <row r="640" spans="1:28" x14ac:dyDescent="0.2">
      <c r="A640" s="359">
        <f>Q4*1000</f>
        <v>30551.5</v>
      </c>
    </row>
    <row r="687" spans="30:31" x14ac:dyDescent="0.2">
      <c r="AD687" t="s">
        <v>44</v>
      </c>
      <c r="AE687" s="4">
        <f>SUM(AE689:AE1306)</f>
        <v>0</v>
      </c>
    </row>
  </sheetData>
  <mergeCells count="20">
    <mergeCell ref="B10:B11"/>
    <mergeCell ref="A2:D2"/>
    <mergeCell ref="J2:L2"/>
    <mergeCell ref="M2:O2"/>
    <mergeCell ref="A10:A12"/>
    <mergeCell ref="O10:P10"/>
    <mergeCell ref="P2:R2"/>
    <mergeCell ref="G11:H11"/>
    <mergeCell ref="E2:G2"/>
    <mergeCell ref="C10:H10"/>
    <mergeCell ref="I10:N10"/>
    <mergeCell ref="Q10:S10"/>
    <mergeCell ref="X10:Y10"/>
    <mergeCell ref="AA10:AB10"/>
    <mergeCell ref="C11:D11"/>
    <mergeCell ref="E11:F11"/>
    <mergeCell ref="I11:J11"/>
    <mergeCell ref="K11:L11"/>
    <mergeCell ref="M11:N11"/>
    <mergeCell ref="O11:P11"/>
  </mergeCells>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E687"/>
  <sheetViews>
    <sheetView zoomScaleNormal="100" workbookViewId="0">
      <pane ySplit="11" topLeftCell="A606" activePane="bottomLeft" state="frozen"/>
      <selection activeCell="A93" sqref="A93"/>
      <selection pane="bottomLeft" activeCell="F5" sqref="F5"/>
    </sheetView>
  </sheetViews>
  <sheetFormatPr defaultColWidth="9.140625" defaultRowHeight="12.75" x14ac:dyDescent="0.2"/>
  <cols>
    <col min="1" max="1" width="16.140625" style="319" customWidth="1"/>
    <col min="2" max="2" width="15.7109375" style="319" customWidth="1"/>
    <col min="3" max="3" width="10" style="319" customWidth="1"/>
    <col min="4" max="4" width="10.85546875" style="319" customWidth="1"/>
    <col min="5" max="5" width="10.140625" style="319" customWidth="1"/>
    <col min="6" max="8" width="11.85546875" style="319" customWidth="1"/>
    <col min="9" max="9" width="14.28515625" style="319" customWidth="1"/>
    <col min="10" max="10" width="11" style="319" customWidth="1"/>
    <col min="11" max="11" width="12" style="319" customWidth="1"/>
    <col min="12" max="12" width="11.42578125" style="319" customWidth="1"/>
    <col min="13" max="13" width="10.85546875" style="319" customWidth="1"/>
    <col min="14" max="14" width="11.42578125" style="319" customWidth="1"/>
    <col min="15" max="15" width="12.28515625" style="319" customWidth="1"/>
    <col min="16" max="16" width="12.140625" style="319" customWidth="1"/>
    <col min="17" max="17" width="9.42578125" style="319" customWidth="1"/>
    <col min="18" max="18" width="16.140625" style="319" bestFit="1" customWidth="1"/>
    <col min="19" max="19" width="15.28515625" style="359" customWidth="1"/>
    <col min="20" max="20" width="9.140625" style="319"/>
    <col min="21" max="21" width="13.42578125" style="319" bestFit="1" customWidth="1"/>
    <col min="22" max="22" width="9.28515625" style="319" bestFit="1" customWidth="1"/>
    <col min="23" max="23" width="9.140625" style="319"/>
    <col min="24" max="24" width="13.5703125" style="319" customWidth="1"/>
    <col min="25" max="25" width="10.5703125" style="319" customWidth="1"/>
    <col min="26" max="26" width="9.140625" style="319"/>
    <col min="27" max="27" width="9.28515625" style="319" bestFit="1" customWidth="1"/>
    <col min="28" max="28" width="11.28515625" style="319" bestFit="1" customWidth="1"/>
    <col min="29" max="29" width="9.140625" style="319"/>
    <col min="30" max="30" width="12.28515625" customWidth="1"/>
    <col min="31" max="31" width="8.85546875" customWidth="1"/>
    <col min="32" max="16384" width="9.140625" style="319"/>
  </cols>
  <sheetData>
    <row r="1" spans="1:31" ht="13.5" thickBot="1" x14ac:dyDescent="0.25"/>
    <row r="2" spans="1:31" x14ac:dyDescent="0.2">
      <c r="A2" s="740" t="s">
        <v>422</v>
      </c>
      <c r="B2" s="741"/>
      <c r="C2" s="742"/>
      <c r="D2" s="743"/>
      <c r="E2" s="740" t="s">
        <v>328</v>
      </c>
      <c r="F2" s="741"/>
      <c r="G2" s="741"/>
      <c r="H2" s="401"/>
      <c r="I2" s="417"/>
      <c r="J2" s="740" t="s">
        <v>420</v>
      </c>
      <c r="K2" s="742"/>
      <c r="L2" s="743"/>
      <c r="M2" s="740" t="s">
        <v>421</v>
      </c>
      <c r="N2" s="742"/>
      <c r="O2" s="743"/>
      <c r="P2" s="740" t="s">
        <v>329</v>
      </c>
      <c r="Q2" s="741"/>
      <c r="R2" s="749"/>
      <c r="AD2" s="114"/>
      <c r="AE2" s="114"/>
    </row>
    <row r="3" spans="1:31" x14ac:dyDescent="0.2">
      <c r="B3" s="320" t="s">
        <v>330</v>
      </c>
      <c r="C3" s="404">
        <f>Afb_Ch2</f>
        <v>0.12</v>
      </c>
      <c r="D3" s="322" t="s">
        <v>28</v>
      </c>
      <c r="E3" s="323" t="s">
        <v>331</v>
      </c>
      <c r="F3" s="321">
        <f>Acs_Ch2</f>
        <v>8.3333333333333339</v>
      </c>
      <c r="G3" s="322" t="s">
        <v>419</v>
      </c>
      <c r="H3" s="415" t="s">
        <v>347</v>
      </c>
      <c r="I3" s="427">
        <f>gm</f>
        <v>1.1999999999999999E-3</v>
      </c>
      <c r="J3" s="323" t="s">
        <v>438</v>
      </c>
      <c r="K3" s="324">
        <f>Fesr_Ch2</f>
        <v>16931376.944016635</v>
      </c>
      <c r="L3" s="322" t="s">
        <v>9</v>
      </c>
      <c r="M3" s="323" t="s">
        <v>333</v>
      </c>
      <c r="N3" s="324">
        <f>Fsw/2</f>
        <v>1050000</v>
      </c>
      <c r="O3" s="322" t="s">
        <v>9</v>
      </c>
      <c r="P3" s="325" t="s">
        <v>334</v>
      </c>
      <c r="Q3" s="324">
        <f>Am_Ch2*Afb_Ch2*AEA</f>
        <v>41825.561482589605</v>
      </c>
      <c r="R3" s="322" t="s">
        <v>28</v>
      </c>
    </row>
    <row r="4" spans="1:31" x14ac:dyDescent="0.2">
      <c r="B4" s="320" t="s">
        <v>443</v>
      </c>
      <c r="C4" s="324">
        <f>Fz1_u_Ch2</f>
        <v>6014.9260496506558</v>
      </c>
      <c r="D4" s="322" t="s">
        <v>9</v>
      </c>
      <c r="E4" s="323" t="s">
        <v>336</v>
      </c>
      <c r="F4" s="329">
        <f>Am_Ch2</f>
        <v>4.5383638761490461</v>
      </c>
      <c r="G4" s="322" t="s">
        <v>28</v>
      </c>
      <c r="H4" s="416"/>
      <c r="I4" s="416"/>
      <c r="J4" s="323" t="s">
        <v>437</v>
      </c>
      <c r="K4" s="324">
        <f>Fp_dominant_Ch2</f>
        <v>62178.710970407672</v>
      </c>
      <c r="L4" s="322" t="s">
        <v>9</v>
      </c>
      <c r="M4" s="323" t="s">
        <v>338</v>
      </c>
      <c r="N4" s="402">
        <f>Q_Ch2*pole3</f>
        <v>673820.87115939625</v>
      </c>
      <c r="O4" s="322"/>
      <c r="P4" s="325" t="s">
        <v>339</v>
      </c>
      <c r="Q4" s="365">
        <f>AE7</f>
        <v>15.4</v>
      </c>
      <c r="R4" s="322" t="s">
        <v>2</v>
      </c>
    </row>
    <row r="5" spans="1:31" x14ac:dyDescent="0.2">
      <c r="B5" s="320" t="s">
        <v>442</v>
      </c>
      <c r="C5" s="329">
        <f>Fp1_u_Ch2</f>
        <v>0.13815215952049953</v>
      </c>
      <c r="D5" s="322" t="s">
        <v>9</v>
      </c>
      <c r="E5" s="323" t="s">
        <v>27</v>
      </c>
      <c r="F5" s="404">
        <f>Q_Ch2</f>
        <v>0.64173416300894881</v>
      </c>
      <c r="G5" s="322"/>
      <c r="H5" s="416"/>
      <c r="I5" s="416"/>
      <c r="J5" s="323"/>
      <c r="K5" s="324"/>
      <c r="L5" s="322"/>
      <c r="M5" s="323" t="s">
        <v>341</v>
      </c>
      <c r="N5" s="321">
        <f>pole3^2</f>
        <v>1102500000000</v>
      </c>
      <c r="O5" s="322"/>
      <c r="P5" s="325" t="s">
        <v>342</v>
      </c>
      <c r="Q5" s="329">
        <f>AE9</f>
        <v>142.63100542843361</v>
      </c>
      <c r="R5" s="388" t="s">
        <v>399</v>
      </c>
    </row>
    <row r="6" spans="1:31" x14ac:dyDescent="0.2">
      <c r="B6" s="320" t="s">
        <v>343</v>
      </c>
      <c r="C6" s="321">
        <f>AEA</f>
        <v>76800</v>
      </c>
      <c r="D6" s="322" t="s">
        <v>28</v>
      </c>
      <c r="E6" s="323" t="s">
        <v>371</v>
      </c>
      <c r="F6" s="404">
        <f>mc_Ch2</f>
        <v>1.3181818181818181</v>
      </c>
      <c r="G6" s="415"/>
      <c r="H6" s="418"/>
      <c r="I6" s="328"/>
      <c r="J6" s="326"/>
      <c r="K6" s="327"/>
      <c r="L6" s="328"/>
      <c r="M6" s="326"/>
      <c r="N6" s="430"/>
      <c r="O6" s="328"/>
      <c r="P6" s="400" t="s">
        <v>344</v>
      </c>
      <c r="Q6" s="327">
        <f>180/Pi</f>
        <v>57.295779578552292</v>
      </c>
      <c r="R6" s="328"/>
      <c r="AD6" s="5" t="s">
        <v>46</v>
      </c>
      <c r="AE6" s="5"/>
    </row>
    <row r="7" spans="1:31" ht="13.5" thickBot="1" x14ac:dyDescent="0.25">
      <c r="B7" s="396" t="s">
        <v>441</v>
      </c>
      <c r="C7" s="403">
        <f>Fp2_u_Ch2</f>
        <v>1017886.0502993048</v>
      </c>
      <c r="D7" s="398" t="s">
        <v>9</v>
      </c>
      <c r="E7" s="397" t="s">
        <v>346</v>
      </c>
      <c r="F7" s="399">
        <f>k_Ch2</f>
        <v>0.99601518026565461</v>
      </c>
      <c r="G7" s="399"/>
      <c r="H7" s="419"/>
      <c r="I7" s="398"/>
      <c r="J7" s="397"/>
      <c r="K7" s="397"/>
      <c r="L7" s="398"/>
      <c r="M7" s="397"/>
      <c r="N7" s="397"/>
      <c r="O7" s="398"/>
      <c r="P7" s="397"/>
      <c r="Q7" s="397"/>
      <c r="R7" s="398"/>
      <c r="AD7" t="s">
        <v>43</v>
      </c>
      <c r="AE7">
        <f>SUM(AD12:AD613)/1000</f>
        <v>15.4</v>
      </c>
    </row>
    <row r="8" spans="1:31" x14ac:dyDescent="0.2">
      <c r="B8" s="405"/>
      <c r="C8" s="406"/>
      <c r="F8" s="407"/>
      <c r="G8" s="407"/>
      <c r="H8" s="407"/>
    </row>
    <row r="9" spans="1:31" ht="13.5" thickBot="1" x14ac:dyDescent="0.25">
      <c r="AD9" t="s">
        <v>44</v>
      </c>
      <c r="AE9" s="4">
        <f>SUM(AE13:AE613)</f>
        <v>142.63100542843361</v>
      </c>
    </row>
    <row r="10" spans="1:31" ht="15" x14ac:dyDescent="0.25">
      <c r="A10" s="744" t="s">
        <v>450</v>
      </c>
      <c r="B10" s="738"/>
      <c r="C10" s="750" t="s">
        <v>348</v>
      </c>
      <c r="D10" s="751"/>
      <c r="E10" s="751"/>
      <c r="F10" s="751"/>
      <c r="G10" s="751"/>
      <c r="H10" s="752"/>
      <c r="I10" s="750" t="s">
        <v>349</v>
      </c>
      <c r="J10" s="751"/>
      <c r="K10" s="751"/>
      <c r="L10" s="751"/>
      <c r="M10" s="751"/>
      <c r="N10" s="752"/>
      <c r="O10" s="747" t="s">
        <v>350</v>
      </c>
      <c r="P10" s="748"/>
      <c r="Q10" s="747" t="s">
        <v>351</v>
      </c>
      <c r="R10" s="753"/>
      <c r="S10" s="754"/>
      <c r="X10" s="731" t="s">
        <v>352</v>
      </c>
      <c r="Y10" s="732"/>
      <c r="AA10" s="731" t="s">
        <v>353</v>
      </c>
      <c r="AB10" s="732"/>
    </row>
    <row r="11" spans="1:31" x14ac:dyDescent="0.2">
      <c r="A11" s="745"/>
      <c r="B11" s="739"/>
      <c r="C11" s="733" t="s">
        <v>437</v>
      </c>
      <c r="D11" s="734"/>
      <c r="E11" s="734" t="s">
        <v>438</v>
      </c>
      <c r="F11" s="735"/>
      <c r="G11" s="736" t="s">
        <v>439</v>
      </c>
      <c r="H11" s="737"/>
      <c r="I11" s="733" t="s">
        <v>337</v>
      </c>
      <c r="J11" s="734"/>
      <c r="K11" s="734" t="s">
        <v>332</v>
      </c>
      <c r="L11" s="735"/>
      <c r="M11" s="736" t="s">
        <v>340</v>
      </c>
      <c r="N11" s="737"/>
      <c r="O11" s="733" t="s">
        <v>333</v>
      </c>
      <c r="P11" s="735"/>
      <c r="Q11" s="323"/>
      <c r="R11" s="321"/>
      <c r="S11" s="366"/>
      <c r="X11" s="323"/>
      <c r="Y11" s="322"/>
      <c r="AA11" s="323"/>
      <c r="AB11" s="322"/>
    </row>
    <row r="12" spans="1:31" ht="13.5" thickBot="1" x14ac:dyDescent="0.25">
      <c r="A12" s="746"/>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
      <c r="A13" s="336">
        <v>1</v>
      </c>
      <c r="B13" s="364">
        <f>A13/1000</f>
        <v>1E-3</v>
      </c>
      <c r="C13" s="337">
        <f t="shared" ref="C13:C76" si="0">SQRT(1+(A13/pole1)^2)</f>
        <v>1.0000000001293263</v>
      </c>
      <c r="D13" s="338">
        <f t="shared" ref="D13:D76" si="1">ATAN(A13/pole1)</f>
        <v>1.6082674991279673E-5</v>
      </c>
      <c r="E13" s="338">
        <f t="shared" ref="E13:E76" si="2">SQRT(1+(A13/Zero1)^2)</f>
        <v>1.0000000000000018</v>
      </c>
      <c r="F13" s="339">
        <f t="shared" ref="F13:F76" si="3">ATAN(A13/Zero1)</f>
        <v>5.9061941819999938E-8</v>
      </c>
      <c r="G13" s="338">
        <f t="shared" ref="G13:G76" si="4">IF(VIN_nom&gt;Vout, 1, SQRT(1+(A13/z_RHP)^2))</f>
        <v>1</v>
      </c>
      <c r="H13" s="339">
        <f t="shared" ref="H13:H76" si="5">IF(VIN_nom&gt;Vout, 0, -ATAN(A13/z_RHP))</f>
        <v>0</v>
      </c>
      <c r="I13" s="337">
        <f t="shared" ref="I13:I76" si="6">SQRT(1+(A13/Pole2)^2)</f>
        <v>7.307145309917475</v>
      </c>
      <c r="J13" s="340">
        <f t="shared" ref="J13:J76" si="7">ATAN(A13/Pole2)</f>
        <v>1.4335131623004456</v>
      </c>
      <c r="K13" s="338">
        <f t="shared" ref="K13:K76" si="8">SQRT(1+(A13/Zero2)^2)</f>
        <v>1.0000000138200438</v>
      </c>
      <c r="L13" s="339">
        <f t="shared" ref="L13:L76" si="9">ATAN(A13/Zero2)</f>
        <v>1.6625308150625012E-4</v>
      </c>
      <c r="M13" s="337">
        <f t="shared" ref="M13:M76" si="10">SQRT(1+(A13/pole4)^2)</f>
        <v>1.0000000000004827</v>
      </c>
      <c r="N13" s="340">
        <f t="shared" ref="N13:N76" si="11">ATAN(A13/pole4)</f>
        <v>9.8242823909968387E-7</v>
      </c>
      <c r="O13" s="341">
        <f t="shared" ref="O13:O76" si="12">SQRT((1-(V13/pterm2))^2+(A13/pterm1)^2)</f>
        <v>1.0000000000001941</v>
      </c>
      <c r="P13" s="342">
        <f t="shared" ref="P13:P76" si="13">IF((ATAN((A13/pterm1)/(1-A13^2/pterm2))&gt;0),ATAN((A13/pterm1)/(1-A13^2/pterm2)),PI()+ATAN((A13/pterm1)/(1-A13^2/pterm2)))</f>
        <v>1.4840739472488337E-6</v>
      </c>
      <c r="Q13" s="343">
        <f t="shared" ref="Q13:Q76" si="14">20*LOG10(((E13*K13*G13)/(C13*I13*O13*M13))*Adc)</f>
        <v>75.153880838885257</v>
      </c>
      <c r="R13" s="344">
        <f t="shared" ref="R13:R76" si="15">((F13+L13+H13)-(D13+J13+P13+N13))*radconv</f>
        <v>-82.125787975774486</v>
      </c>
      <c r="S13" s="600">
        <f t="shared" ref="S13:S76" si="16">IF(R13&gt;0,R13,R13+180)</f>
        <v>97.874212024225514</v>
      </c>
      <c r="U13" s="319">
        <f>IF(Q13&lt;0,A13,1000000000)</f>
        <v>1000000000</v>
      </c>
      <c r="V13" s="319">
        <f>A13^2</f>
        <v>1</v>
      </c>
      <c r="X13" s="345">
        <f t="shared" ref="X13:X76" si="17">20*LOG10((K13/(I13*M13))*AEA)</f>
        <v>80.432269644411576</v>
      </c>
      <c r="Y13" s="346">
        <f t="shared" ref="Y13:Y76" si="18">(L13-(J13+N13))*radconv</f>
        <v>-82.124784859199394</v>
      </c>
      <c r="AA13" s="345">
        <f t="shared" ref="AA13:AA76" si="19">20*LOG10((E13*G13/(C13*O13))*Acs*Am)</f>
        <v>32.939578207819949</v>
      </c>
      <c r="AB13" s="346">
        <f t="shared" ref="AB13:AB76" si="20">(F13+H13-(D13+P13))*radconv</f>
        <v>-1.0031165750936967E-3</v>
      </c>
      <c r="AD13">
        <f>SUM((Q14&lt;0)*(Q13&gt;0))*A13</f>
        <v>0</v>
      </c>
      <c r="AE13">
        <f t="shared" ref="AE13:AE76" si="21">IF(AD13&gt;0,S11,0)</f>
        <v>0</v>
      </c>
    </row>
    <row r="14" spans="1:31" x14ac:dyDescent="0.2">
      <c r="A14" s="347">
        <v>1.0965</v>
      </c>
      <c r="B14" s="364">
        <f t="shared" ref="B14:B77" si="22">A14/1000</f>
        <v>1.0965E-3</v>
      </c>
      <c r="C14" s="337">
        <f t="shared" si="0"/>
        <v>1.0000000001554905</v>
      </c>
      <c r="D14" s="338">
        <f t="shared" si="1"/>
        <v>1.7634653127630566E-5</v>
      </c>
      <c r="E14" s="338">
        <f t="shared" si="2"/>
        <v>1.0000000000000022</v>
      </c>
      <c r="F14" s="339">
        <f t="shared" si="3"/>
        <v>6.4761419205629918E-8</v>
      </c>
      <c r="G14" s="338">
        <f t="shared" si="4"/>
        <v>1</v>
      </c>
      <c r="H14" s="339">
        <f t="shared" si="5"/>
        <v>0</v>
      </c>
      <c r="I14" s="337">
        <f t="shared" si="6"/>
        <v>7.9996497413510186</v>
      </c>
      <c r="J14" s="340">
        <f t="shared" si="7"/>
        <v>1.4454629793281613</v>
      </c>
      <c r="K14" s="348">
        <f t="shared" si="8"/>
        <v>1.0000000166160079</v>
      </c>
      <c r="L14" s="349">
        <f t="shared" si="9"/>
        <v>1.8229650353180697E-4</v>
      </c>
      <c r="M14" s="337">
        <f t="shared" si="10"/>
        <v>1.0000000000005802</v>
      </c>
      <c r="N14" s="340">
        <f t="shared" si="11"/>
        <v>1.0772325641727333E-6</v>
      </c>
      <c r="O14" s="341">
        <f t="shared" si="12"/>
        <v>1.0000000000002336</v>
      </c>
      <c r="P14" s="342">
        <f t="shared" si="13"/>
        <v>1.6272870831584031E-6</v>
      </c>
      <c r="Q14" s="343">
        <f t="shared" si="14"/>
        <v>74.367416296178646</v>
      </c>
      <c r="R14" s="344">
        <f t="shared" si="15"/>
        <v>-82.809645070463645</v>
      </c>
      <c r="S14" s="346">
        <f t="shared" si="16"/>
        <v>97.190354929536355</v>
      </c>
      <c r="U14" s="319">
        <f t="shared" ref="U14:U77" si="23">IF(Q14&lt;0,A14,1000000000)</f>
        <v>1000000000</v>
      </c>
      <c r="V14" s="319">
        <f t="shared" ref="V14:V77" si="24">A14^2</f>
        <v>1.2023122500000001</v>
      </c>
      <c r="X14" s="345">
        <f t="shared" si="17"/>
        <v>79.645805101932567</v>
      </c>
      <c r="Y14" s="346">
        <f t="shared" si="18"/>
        <v>-82.808545153139065</v>
      </c>
      <c r="AA14" s="345">
        <f t="shared" si="19"/>
        <v>32.939578207592348</v>
      </c>
      <c r="AB14" s="346">
        <f t="shared" si="20"/>
        <v>-1.0999173245726179E-3</v>
      </c>
      <c r="AD14">
        <f t="shared" ref="AD14:AD77" si="25">SUM((Q15&lt;0)*(Q14&gt;0))*A14</f>
        <v>0</v>
      </c>
      <c r="AE14">
        <f t="shared" si="21"/>
        <v>0</v>
      </c>
    </row>
    <row r="15" spans="1:31" x14ac:dyDescent="0.2">
      <c r="A15" s="347">
        <v>1.2022999999999999</v>
      </c>
      <c r="B15" s="364">
        <f t="shared" si="22"/>
        <v>1.2022999999999999E-3</v>
      </c>
      <c r="C15" s="337">
        <f t="shared" si="0"/>
        <v>1.0000000001869442</v>
      </c>
      <c r="D15" s="338">
        <f t="shared" si="1"/>
        <v>1.9336200141272806E-5</v>
      </c>
      <c r="E15" s="338">
        <f t="shared" si="2"/>
        <v>1.0000000000000027</v>
      </c>
      <c r="F15" s="339">
        <f t="shared" si="3"/>
        <v>7.1010172650185879E-8</v>
      </c>
      <c r="G15" s="338">
        <f t="shared" si="4"/>
        <v>1</v>
      </c>
      <c r="H15" s="339">
        <f t="shared" si="5"/>
        <v>0</v>
      </c>
      <c r="I15" s="337">
        <f t="shared" si="6"/>
        <v>8.7599880489891309</v>
      </c>
      <c r="J15" s="340">
        <f t="shared" si="7"/>
        <v>1.4563915193937875</v>
      </c>
      <c r="K15" s="348">
        <f t="shared" si="8"/>
        <v>1.0000000199772228</v>
      </c>
      <c r="L15" s="349">
        <f t="shared" si="9"/>
        <v>1.9988607907447494E-4</v>
      </c>
      <c r="M15" s="337">
        <f t="shared" si="10"/>
        <v>1.0000000000006977</v>
      </c>
      <c r="N15" s="340">
        <f t="shared" si="11"/>
        <v>1.1811734718693807E-6</v>
      </c>
      <c r="O15" s="341">
        <f t="shared" si="12"/>
        <v>1.0000000000002807</v>
      </c>
      <c r="P15" s="342">
        <f t="shared" si="13"/>
        <v>1.7843021067774098E-6</v>
      </c>
      <c r="Q15" s="343">
        <f t="shared" si="14"/>
        <v>73.578765494667351</v>
      </c>
      <c r="R15" s="344">
        <f t="shared" si="15"/>
        <v>-83.434908569844936</v>
      </c>
      <c r="S15" s="346">
        <f t="shared" si="16"/>
        <v>96.565091430155064</v>
      </c>
      <c r="U15" s="319">
        <f t="shared" si="23"/>
        <v>1000000000</v>
      </c>
      <c r="V15" s="319">
        <f t="shared" si="24"/>
        <v>1.4455252899999997</v>
      </c>
      <c r="X15" s="345">
        <f t="shared" si="17"/>
        <v>78.857154300694873</v>
      </c>
      <c r="Y15" s="346">
        <f t="shared" si="18"/>
        <v>-83.433702522786746</v>
      </c>
      <c r="AA15" s="345">
        <f t="shared" si="19"/>
        <v>32.939578207318739</v>
      </c>
      <c r="AB15" s="346">
        <f t="shared" si="20"/>
        <v>-1.2060470581926031E-3</v>
      </c>
      <c r="AD15">
        <f t="shared" si="25"/>
        <v>0</v>
      </c>
      <c r="AE15">
        <f t="shared" si="21"/>
        <v>0</v>
      </c>
    </row>
    <row r="16" spans="1:31" x14ac:dyDescent="0.2">
      <c r="A16" s="347">
        <v>1.3183</v>
      </c>
      <c r="B16" s="364">
        <f t="shared" si="22"/>
        <v>1.3183000000000001E-3</v>
      </c>
      <c r="C16" s="337">
        <f t="shared" si="0"/>
        <v>1.000000000224758</v>
      </c>
      <c r="D16" s="338">
        <f t="shared" si="1"/>
        <v>2.1201790439655111E-5</v>
      </c>
      <c r="E16" s="338">
        <f t="shared" si="2"/>
        <v>1.0000000000000031</v>
      </c>
      <c r="F16" s="339">
        <f t="shared" si="3"/>
        <v>7.7861357901305852E-8</v>
      </c>
      <c r="G16" s="338">
        <f t="shared" si="4"/>
        <v>1</v>
      </c>
      <c r="H16" s="339">
        <f t="shared" si="5"/>
        <v>0</v>
      </c>
      <c r="I16" s="337">
        <f t="shared" si="6"/>
        <v>9.594631845955444</v>
      </c>
      <c r="J16" s="340">
        <f t="shared" si="7"/>
        <v>1.4663817544475066</v>
      </c>
      <c r="K16" s="348">
        <f t="shared" si="8"/>
        <v>1.0000000240180595</v>
      </c>
      <c r="L16" s="349">
        <f t="shared" si="9"/>
        <v>2.1917143585961369E-4</v>
      </c>
      <c r="M16" s="337">
        <f t="shared" si="10"/>
        <v>1.0000000000008387</v>
      </c>
      <c r="N16" s="340">
        <f t="shared" si="11"/>
        <v>1.2951351476048059E-6</v>
      </c>
      <c r="O16" s="341">
        <f t="shared" si="12"/>
        <v>1.0000000000003375</v>
      </c>
      <c r="P16" s="342">
        <f t="shared" si="13"/>
        <v>1.956454684658387E-6</v>
      </c>
      <c r="Q16" s="343">
        <f t="shared" si="14"/>
        <v>72.78826949990723</v>
      </c>
      <c r="R16" s="344">
        <f t="shared" si="15"/>
        <v>-84.006324796915024</v>
      </c>
      <c r="S16" s="346">
        <f t="shared" si="16"/>
        <v>95.993675203084976</v>
      </c>
      <c r="U16" s="319">
        <f t="shared" si="23"/>
        <v>1000000000</v>
      </c>
      <c r="V16" s="319">
        <f t="shared" si="24"/>
        <v>1.7379148900000001</v>
      </c>
      <c r="X16" s="345">
        <f t="shared" si="17"/>
        <v>78.06665830626369</v>
      </c>
      <c r="Y16" s="346">
        <f t="shared" si="18"/>
        <v>-84.005002388334134</v>
      </c>
      <c r="AA16" s="345">
        <f t="shared" si="19"/>
        <v>32.9395782069898</v>
      </c>
      <c r="AB16" s="346">
        <f t="shared" si="20"/>
        <v>-1.3224085808687495E-3</v>
      </c>
      <c r="AD16">
        <f t="shared" si="25"/>
        <v>0</v>
      </c>
      <c r="AE16">
        <f t="shared" si="21"/>
        <v>0</v>
      </c>
    </row>
    <row r="17" spans="1:31" x14ac:dyDescent="0.2">
      <c r="A17" s="347">
        <v>1.4454</v>
      </c>
      <c r="B17" s="364">
        <f t="shared" si="22"/>
        <v>1.4454000000000001E-3</v>
      </c>
      <c r="C17" s="337">
        <f t="shared" si="0"/>
        <v>1.0000000002701859</v>
      </c>
      <c r="D17" s="338">
        <f t="shared" si="1"/>
        <v>2.3245898430212701E-5</v>
      </c>
      <c r="E17" s="338">
        <f t="shared" si="2"/>
        <v>1.0000000000000036</v>
      </c>
      <c r="F17" s="339">
        <f t="shared" si="3"/>
        <v>8.5368130706627795E-8</v>
      </c>
      <c r="G17" s="338">
        <f t="shared" si="4"/>
        <v>1</v>
      </c>
      <c r="H17" s="339">
        <f t="shared" si="5"/>
        <v>0</v>
      </c>
      <c r="I17" s="337">
        <f t="shared" si="6"/>
        <v>10.510058805005645</v>
      </c>
      <c r="J17" s="340">
        <f t="shared" si="7"/>
        <v>1.4755052326009523</v>
      </c>
      <c r="K17" s="348">
        <f t="shared" si="8"/>
        <v>1.0000000288725748</v>
      </c>
      <c r="L17" s="349">
        <f t="shared" si="9"/>
        <v>2.4030220159769643E-4</v>
      </c>
      <c r="M17" s="337">
        <f t="shared" si="10"/>
        <v>1.0000000000010081</v>
      </c>
      <c r="N17" s="340">
        <f t="shared" si="11"/>
        <v>1.4200017767941855E-6</v>
      </c>
      <c r="O17" s="341">
        <f t="shared" si="12"/>
        <v>1.0000000000004059</v>
      </c>
      <c r="P17" s="342">
        <f t="shared" si="13"/>
        <v>2.145080483353868E-6</v>
      </c>
      <c r="Q17" s="343">
        <f t="shared" si="14"/>
        <v>71.99673292538678</v>
      </c>
      <c r="R17" s="344">
        <f t="shared" si="15"/>
        <v>-84.527985536936043</v>
      </c>
      <c r="S17" s="346">
        <f t="shared" si="16"/>
        <v>95.472014463063957</v>
      </c>
      <c r="U17" s="319">
        <f t="shared" si="23"/>
        <v>1000000000</v>
      </c>
      <c r="V17" s="319">
        <f t="shared" si="24"/>
        <v>2.0891811599999999</v>
      </c>
      <c r="X17" s="345">
        <f t="shared" si="17"/>
        <v>77.275121732138416</v>
      </c>
      <c r="Y17" s="346">
        <f t="shared" si="18"/>
        <v>-84.52653563223852</v>
      </c>
      <c r="AA17" s="345">
        <f t="shared" si="19"/>
        <v>32.939578206594632</v>
      </c>
      <c r="AB17" s="346">
        <f t="shared" si="20"/>
        <v>-1.4499046975153793E-3</v>
      </c>
      <c r="AD17">
        <f t="shared" si="25"/>
        <v>0</v>
      </c>
      <c r="AE17">
        <f t="shared" si="21"/>
        <v>0</v>
      </c>
    </row>
    <row r="18" spans="1:31" x14ac:dyDescent="0.2">
      <c r="A18" s="347">
        <v>1.5849</v>
      </c>
      <c r="B18" s="364">
        <f t="shared" si="22"/>
        <v>1.5849E-3</v>
      </c>
      <c r="C18" s="337">
        <f t="shared" si="0"/>
        <v>1.0000000003248557</v>
      </c>
      <c r="D18" s="338">
        <f t="shared" si="1"/>
        <v>2.5489431590356531E-5</v>
      </c>
      <c r="E18" s="338">
        <f t="shared" si="2"/>
        <v>1.0000000000000044</v>
      </c>
      <c r="F18" s="339">
        <f t="shared" si="3"/>
        <v>9.360727159051773E-8</v>
      </c>
      <c r="G18" s="338">
        <f t="shared" si="4"/>
        <v>1</v>
      </c>
      <c r="H18" s="339">
        <f t="shared" si="5"/>
        <v>0</v>
      </c>
      <c r="I18" s="337">
        <f t="shared" si="6"/>
        <v>11.515634770313433</v>
      </c>
      <c r="J18" s="340">
        <f t="shared" si="7"/>
        <v>1.4838483535534925</v>
      </c>
      <c r="K18" s="348">
        <f t="shared" si="8"/>
        <v>1.0000000347146782</v>
      </c>
      <c r="L18" s="349">
        <f t="shared" si="9"/>
        <v>2.6349450520884163E-4</v>
      </c>
      <c r="M18" s="337">
        <f t="shared" si="10"/>
        <v>1.0000000000012124</v>
      </c>
      <c r="N18" s="340">
        <f t="shared" si="11"/>
        <v>1.5570505161483317E-6</v>
      </c>
      <c r="O18" s="341">
        <f t="shared" si="12"/>
        <v>1.0000000000004878</v>
      </c>
      <c r="P18" s="342">
        <f t="shared" si="13"/>
        <v>2.3521087989952911E-6</v>
      </c>
      <c r="Q18" s="343">
        <f t="shared" si="14"/>
        <v>71.203078247966616</v>
      </c>
      <c r="R18" s="344">
        <f t="shared" si="15"/>
        <v>-85.004830121990878</v>
      </c>
      <c r="S18" s="346">
        <f t="shared" si="16"/>
        <v>94.995169878009122</v>
      </c>
      <c r="U18" s="319">
        <f t="shared" si="23"/>
        <v>1000000000</v>
      </c>
      <c r="V18" s="319">
        <f t="shared" si="24"/>
        <v>2.51190801</v>
      </c>
      <c r="X18" s="345">
        <f t="shared" si="17"/>
        <v>76.481467055193804</v>
      </c>
      <c r="Y18" s="346">
        <f t="shared" si="18"/>
        <v>-85.003240282531195</v>
      </c>
      <c r="AA18" s="345">
        <f t="shared" si="19"/>
        <v>32.939578206119073</v>
      </c>
      <c r="AB18" s="346">
        <f t="shared" si="20"/>
        <v>-1.589839459675663E-3</v>
      </c>
      <c r="AD18">
        <f t="shared" si="25"/>
        <v>0</v>
      </c>
      <c r="AE18">
        <f t="shared" si="21"/>
        <v>0</v>
      </c>
    </row>
    <row r="19" spans="1:31" x14ac:dyDescent="0.2">
      <c r="A19" s="347">
        <v>1.7378</v>
      </c>
      <c r="B19" s="364">
        <f t="shared" si="22"/>
        <v>1.7378000000000001E-3</v>
      </c>
      <c r="C19" s="337">
        <f t="shared" si="0"/>
        <v>1.0000000003905585</v>
      </c>
      <c r="D19" s="338">
        <f t="shared" si="1"/>
        <v>2.7948472594978455E-5</v>
      </c>
      <c r="E19" s="338">
        <f t="shared" si="2"/>
        <v>1.0000000000000053</v>
      </c>
      <c r="F19" s="339">
        <f t="shared" si="3"/>
        <v>1.0263784249479565E-7</v>
      </c>
      <c r="G19" s="338">
        <f t="shared" si="4"/>
        <v>1</v>
      </c>
      <c r="H19" s="339">
        <f t="shared" si="5"/>
        <v>0</v>
      </c>
      <c r="I19" s="337">
        <f t="shared" si="6"/>
        <v>12.618570628096139</v>
      </c>
      <c r="J19" s="340">
        <f t="shared" si="7"/>
        <v>1.491464862581992</v>
      </c>
      <c r="K19" s="348">
        <f t="shared" si="8"/>
        <v>1.0000000417358244</v>
      </c>
      <c r="L19" s="349">
        <f t="shared" si="9"/>
        <v>2.8891459966471044E-4</v>
      </c>
      <c r="M19" s="337">
        <f t="shared" si="10"/>
        <v>1.0000000000014575</v>
      </c>
      <c r="N19" s="340">
        <f t="shared" si="11"/>
        <v>1.7072637939063212E-6</v>
      </c>
      <c r="O19" s="341">
        <f t="shared" si="12"/>
        <v>1.0000000000005866</v>
      </c>
      <c r="P19" s="342">
        <f t="shared" si="13"/>
        <v>2.5790237055299234E-6</v>
      </c>
      <c r="Q19" s="343">
        <f t="shared" si="14"/>
        <v>70.408632697879213</v>
      </c>
      <c r="R19" s="344">
        <f t="shared" si="15"/>
        <v>-85.439929463428115</v>
      </c>
      <c r="S19" s="346">
        <f t="shared" si="16"/>
        <v>94.560070536571885</v>
      </c>
      <c r="U19" s="319">
        <f t="shared" si="23"/>
        <v>1000000000</v>
      </c>
      <c r="V19" s="319">
        <f t="shared" si="24"/>
        <v>3.0199488400000001</v>
      </c>
      <c r="X19" s="345">
        <f t="shared" si="17"/>
        <v>75.687021505677933</v>
      </c>
      <c r="Y19" s="346">
        <f t="shared" si="18"/>
        <v>-85.438186247444193</v>
      </c>
      <c r="AA19" s="345">
        <f t="shared" si="19"/>
        <v>32.939578205547534</v>
      </c>
      <c r="AB19" s="346">
        <f t="shared" si="20"/>
        <v>-1.7432159839189988E-3</v>
      </c>
      <c r="AD19">
        <f t="shared" si="25"/>
        <v>0</v>
      </c>
      <c r="AE19">
        <f t="shared" si="21"/>
        <v>0</v>
      </c>
    </row>
    <row r="20" spans="1:31" x14ac:dyDescent="0.2">
      <c r="A20" s="347">
        <v>1.9055</v>
      </c>
      <c r="B20" s="364">
        <f t="shared" si="22"/>
        <v>1.9055000000000001E-3</v>
      </c>
      <c r="C20" s="337">
        <f t="shared" si="0"/>
        <v>1.0000000004695744</v>
      </c>
      <c r="D20" s="338">
        <f t="shared" si="1"/>
        <v>3.0645537188932018E-5</v>
      </c>
      <c r="E20" s="338">
        <f t="shared" si="2"/>
        <v>1.0000000000000062</v>
      </c>
      <c r="F20" s="339">
        <f t="shared" si="3"/>
        <v>1.1254253013800953E-7</v>
      </c>
      <c r="G20" s="338">
        <f t="shared" si="4"/>
        <v>1</v>
      </c>
      <c r="H20" s="339">
        <f t="shared" si="5"/>
        <v>0</v>
      </c>
      <c r="I20" s="337">
        <f t="shared" si="6"/>
        <v>13.82896642310612</v>
      </c>
      <c r="J20" s="340">
        <f t="shared" si="7"/>
        <v>1.4984211737773119</v>
      </c>
      <c r="K20" s="348">
        <f t="shared" si="8"/>
        <v>1.0000000501796138</v>
      </c>
      <c r="L20" s="349">
        <f t="shared" si="9"/>
        <v>3.1679523913113393E-4</v>
      </c>
      <c r="M20" s="337">
        <f t="shared" si="10"/>
        <v>1.0000000000017524</v>
      </c>
      <c r="N20" s="340">
        <f t="shared" si="11"/>
        <v>1.8720170096028632E-6</v>
      </c>
      <c r="O20" s="341">
        <f t="shared" si="12"/>
        <v>1.0000000000007052</v>
      </c>
      <c r="P20" s="342">
        <f t="shared" si="13"/>
        <v>2.8279029064839381E-6</v>
      </c>
      <c r="Q20" s="343">
        <f t="shared" si="14"/>
        <v>69.613041584894546</v>
      </c>
      <c r="R20" s="344">
        <f t="shared" si="15"/>
        <v>-85.837076955695068</v>
      </c>
      <c r="S20" s="346">
        <f t="shared" si="16"/>
        <v>94.162923044304932</v>
      </c>
      <c r="U20" s="319">
        <f t="shared" si="23"/>
        <v>1000000000</v>
      </c>
      <c r="V20" s="319">
        <f t="shared" si="24"/>
        <v>3.63093025</v>
      </c>
      <c r="X20" s="345">
        <f t="shared" si="17"/>
        <v>74.891430393380617</v>
      </c>
      <c r="Y20" s="346">
        <f t="shared" si="18"/>
        <v>-85.835165517061611</v>
      </c>
      <c r="AA20" s="345">
        <f t="shared" si="19"/>
        <v>32.93957820486019</v>
      </c>
      <c r="AB20" s="346">
        <f t="shared" si="20"/>
        <v>-1.9114386334428272E-3</v>
      </c>
      <c r="AD20">
        <f t="shared" si="25"/>
        <v>0</v>
      </c>
      <c r="AE20">
        <f t="shared" si="21"/>
        <v>0</v>
      </c>
    </row>
    <row r="21" spans="1:31" x14ac:dyDescent="0.2">
      <c r="A21" s="347">
        <v>2.0893000000000002</v>
      </c>
      <c r="B21" s="364">
        <f t="shared" si="22"/>
        <v>2.0893000000000001E-3</v>
      </c>
      <c r="C21" s="337">
        <f t="shared" si="0"/>
        <v>1.0000000005645315</v>
      </c>
      <c r="D21" s="338">
        <f t="shared" si="1"/>
        <v>3.360153284953158E-5</v>
      </c>
      <c r="E21" s="338">
        <f t="shared" si="2"/>
        <v>1.0000000000000075</v>
      </c>
      <c r="F21" s="339">
        <f t="shared" si="3"/>
        <v>1.233981150445254E-7</v>
      </c>
      <c r="G21" s="338">
        <f t="shared" si="4"/>
        <v>1</v>
      </c>
      <c r="H21" s="339">
        <f t="shared" si="5"/>
        <v>0</v>
      </c>
      <c r="I21" s="337">
        <f t="shared" si="6"/>
        <v>15.156205943667374</v>
      </c>
      <c r="J21" s="340">
        <f t="shared" si="7"/>
        <v>1.5047687880138572</v>
      </c>
      <c r="K21" s="348">
        <f t="shared" si="8"/>
        <v>1.0000000603269008</v>
      </c>
      <c r="L21" s="349">
        <f t="shared" si="9"/>
        <v>3.4735255242149152E-4</v>
      </c>
      <c r="M21" s="337">
        <f t="shared" si="10"/>
        <v>1.0000000000021065</v>
      </c>
      <c r="N21" s="340">
        <f t="shared" si="11"/>
        <v>2.0525873199487475E-6</v>
      </c>
      <c r="O21" s="341">
        <f t="shared" si="12"/>
        <v>1.0000000000008478</v>
      </c>
      <c r="P21" s="342">
        <f t="shared" si="13"/>
        <v>3.100675697988792E-6</v>
      </c>
      <c r="Q21" s="343">
        <f t="shared" si="14"/>
        <v>68.817026157909353</v>
      </c>
      <c r="R21" s="344">
        <f t="shared" si="15"/>
        <v>-86.199212375498078</v>
      </c>
      <c r="S21" s="346">
        <f t="shared" si="16"/>
        <v>93.800787624501922</v>
      </c>
      <c r="U21" s="319">
        <f t="shared" si="23"/>
        <v>1000000000</v>
      </c>
      <c r="V21" s="319">
        <f t="shared" si="24"/>
        <v>4.3651744900000002</v>
      </c>
      <c r="X21" s="345">
        <f t="shared" si="17"/>
        <v>74.095414967221444</v>
      </c>
      <c r="Y21" s="346">
        <f t="shared" si="18"/>
        <v>-86.197116564038296</v>
      </c>
      <c r="AA21" s="345">
        <f t="shared" si="19"/>
        <v>32.939578204034177</v>
      </c>
      <c r="AB21" s="346">
        <f t="shared" si="20"/>
        <v>-2.0958114597847853E-3</v>
      </c>
      <c r="AD21">
        <f t="shared" si="25"/>
        <v>0</v>
      </c>
      <c r="AE21">
        <f t="shared" si="21"/>
        <v>0</v>
      </c>
    </row>
    <row r="22" spans="1:31" x14ac:dyDescent="0.2">
      <c r="A22" s="347">
        <v>2.2909000000000002</v>
      </c>
      <c r="B22" s="364">
        <f t="shared" si="22"/>
        <v>2.2909000000000002E-3</v>
      </c>
      <c r="C22" s="337">
        <f t="shared" si="0"/>
        <v>1.0000000006787328</v>
      </c>
      <c r="D22" s="338">
        <f t="shared" si="1"/>
        <v>3.684380012402779E-5</v>
      </c>
      <c r="E22" s="338">
        <f t="shared" si="2"/>
        <v>1.0000000000000091</v>
      </c>
      <c r="F22" s="339">
        <f t="shared" si="3"/>
        <v>1.3530500251543719E-7</v>
      </c>
      <c r="G22" s="338">
        <f t="shared" si="4"/>
        <v>1</v>
      </c>
      <c r="H22" s="339">
        <f t="shared" si="5"/>
        <v>0</v>
      </c>
      <c r="I22" s="337">
        <f t="shared" si="6"/>
        <v>16.61256576484503</v>
      </c>
      <c r="J22" s="340">
        <f t="shared" si="7"/>
        <v>1.5105645170112418</v>
      </c>
      <c r="K22" s="348">
        <f t="shared" si="8"/>
        <v>1.0000000725306666</v>
      </c>
      <c r="L22" s="349">
        <f t="shared" si="9"/>
        <v>3.8086916951529117E-4</v>
      </c>
      <c r="M22" s="337">
        <f t="shared" si="10"/>
        <v>1.0000000000025326</v>
      </c>
      <c r="N22" s="340">
        <f t="shared" si="11"/>
        <v>2.2506448529503898E-6</v>
      </c>
      <c r="O22" s="341">
        <f t="shared" si="12"/>
        <v>1.0000000000010192</v>
      </c>
      <c r="P22" s="342">
        <f t="shared" si="13"/>
        <v>3.3998650057548498E-6</v>
      </c>
      <c r="Q22" s="343">
        <f t="shared" si="14"/>
        <v>68.020101956024916</v>
      </c>
      <c r="R22" s="344">
        <f t="shared" si="15"/>
        <v>-86.529576402086107</v>
      </c>
      <c r="S22" s="346">
        <f t="shared" si="16"/>
        <v>93.470423597913893</v>
      </c>
      <c r="U22" s="319">
        <f t="shared" si="23"/>
        <v>1000000000</v>
      </c>
      <c r="V22" s="319">
        <f t="shared" si="24"/>
        <v>5.2482228100000006</v>
      </c>
      <c r="X22" s="345">
        <f t="shared" si="17"/>
        <v>73.298490766330417</v>
      </c>
      <c r="Y22" s="346">
        <f t="shared" si="18"/>
        <v>-86.527278362325006</v>
      </c>
      <c r="AA22" s="345">
        <f t="shared" si="19"/>
        <v>32.93957820304076</v>
      </c>
      <c r="AB22" s="346">
        <f t="shared" si="20"/>
        <v>-2.2980397611090972E-3</v>
      </c>
      <c r="AD22">
        <f t="shared" si="25"/>
        <v>0</v>
      </c>
      <c r="AE22">
        <f t="shared" si="21"/>
        <v>0</v>
      </c>
    </row>
    <row r="23" spans="1:31" x14ac:dyDescent="0.2">
      <c r="A23" s="347">
        <v>2.5118999999999998</v>
      </c>
      <c r="B23" s="364">
        <f t="shared" si="22"/>
        <v>2.5118999999999996E-3</v>
      </c>
      <c r="C23" s="337">
        <f t="shared" si="0"/>
        <v>1.0000000008160019</v>
      </c>
      <c r="D23" s="338">
        <f t="shared" si="1"/>
        <v>4.0398071292101822E-5</v>
      </c>
      <c r="E23" s="338">
        <f t="shared" si="2"/>
        <v>1.0000000000000111</v>
      </c>
      <c r="F23" s="339">
        <f t="shared" si="3"/>
        <v>1.4835769165765692E-7</v>
      </c>
      <c r="G23" s="338">
        <f t="shared" si="4"/>
        <v>1</v>
      </c>
      <c r="H23" s="339">
        <f t="shared" si="5"/>
        <v>0</v>
      </c>
      <c r="I23" s="337">
        <f t="shared" si="6"/>
        <v>18.20960497545682</v>
      </c>
      <c r="J23" s="340">
        <f t="shared" si="7"/>
        <v>1.5158526136349579</v>
      </c>
      <c r="K23" s="348">
        <f t="shared" si="8"/>
        <v>1.0000000871995196</v>
      </c>
      <c r="L23" s="349">
        <f t="shared" si="9"/>
        <v>4.1761109500616106E-4</v>
      </c>
      <c r="M23" s="337">
        <f t="shared" si="10"/>
        <v>1.0000000000030449</v>
      </c>
      <c r="N23" s="340">
        <f t="shared" si="11"/>
        <v>2.4677614937902803E-6</v>
      </c>
      <c r="O23" s="341">
        <f t="shared" si="12"/>
        <v>1.0000000000012255</v>
      </c>
      <c r="P23" s="342">
        <f t="shared" si="13"/>
        <v>3.7278453480977661E-6</v>
      </c>
      <c r="Q23" s="343">
        <f t="shared" si="14"/>
        <v>67.22282585328017</v>
      </c>
      <c r="R23" s="344">
        <f t="shared" si="15"/>
        <v>-86.830690991994445</v>
      </c>
      <c r="S23" s="346">
        <f t="shared" si="16"/>
        <v>93.169309008005555</v>
      </c>
      <c r="U23" s="319">
        <f t="shared" si="23"/>
        <v>1000000000</v>
      </c>
      <c r="V23" s="319">
        <f t="shared" si="24"/>
        <v>6.309641609999999</v>
      </c>
      <c r="X23" s="345">
        <f t="shared" si="17"/>
        <v>72.501214664779752</v>
      </c>
      <c r="Y23" s="346">
        <f t="shared" si="18"/>
        <v>-86.828171263470509</v>
      </c>
      <c r="AA23" s="345">
        <f t="shared" si="19"/>
        <v>32.939578201846679</v>
      </c>
      <c r="AB23" s="346">
        <f t="shared" si="20"/>
        <v>-2.5197285239184487E-3</v>
      </c>
      <c r="AD23">
        <f t="shared" si="25"/>
        <v>0</v>
      </c>
      <c r="AE23">
        <f t="shared" si="21"/>
        <v>0</v>
      </c>
    </row>
    <row r="24" spans="1:31" x14ac:dyDescent="0.2">
      <c r="A24" s="347">
        <v>2.7542</v>
      </c>
      <c r="B24" s="364">
        <f t="shared" si="22"/>
        <v>2.7542000000000001E-3</v>
      </c>
      <c r="C24" s="337">
        <f t="shared" si="0"/>
        <v>1.0000000009810193</v>
      </c>
      <c r="D24" s="338">
        <f t="shared" si="1"/>
        <v>4.4294903435832038E-5</v>
      </c>
      <c r="E24" s="338">
        <f t="shared" si="2"/>
        <v>1.0000000000000133</v>
      </c>
      <c r="F24" s="339">
        <f t="shared" si="3"/>
        <v>1.6266840016064258E-7</v>
      </c>
      <c r="G24" s="338">
        <f t="shared" si="4"/>
        <v>1</v>
      </c>
      <c r="H24" s="339">
        <f t="shared" si="5"/>
        <v>0</v>
      </c>
      <c r="I24" s="337">
        <f t="shared" si="6"/>
        <v>19.961054002268234</v>
      </c>
      <c r="J24" s="340">
        <f t="shared" si="7"/>
        <v>1.5206777926142272</v>
      </c>
      <c r="K24" s="348">
        <f t="shared" si="8"/>
        <v>1.0000001048335627</v>
      </c>
      <c r="L24" s="349">
        <f t="shared" si="9"/>
        <v>4.5789420930147229E-4</v>
      </c>
      <c r="M24" s="337">
        <f t="shared" si="10"/>
        <v>1.0000000000036606</v>
      </c>
      <c r="N24" s="340">
        <f t="shared" si="11"/>
        <v>2.7058038561226165E-6</v>
      </c>
      <c r="O24" s="341">
        <f t="shared" si="12"/>
        <v>1.000000000001473</v>
      </c>
      <c r="P24" s="342">
        <f t="shared" si="13"/>
        <v>4.0874364655173902E-6</v>
      </c>
      <c r="Q24" s="343">
        <f t="shared" si="14"/>
        <v>66.425167106620307</v>
      </c>
      <c r="R24" s="344">
        <f t="shared" si="15"/>
        <v>-87.105102024748774</v>
      </c>
      <c r="S24" s="346">
        <f t="shared" si="16"/>
        <v>92.894897975251226</v>
      </c>
      <c r="U24" s="319">
        <f t="shared" si="23"/>
        <v>1000000000</v>
      </c>
      <c r="V24" s="319">
        <f t="shared" si="24"/>
        <v>7.5856176399999997</v>
      </c>
      <c r="X24" s="345">
        <f t="shared" si="17"/>
        <v>71.703555919555342</v>
      </c>
      <c r="Y24" s="346">
        <f t="shared" si="18"/>
        <v>-87.102339241079108</v>
      </c>
      <c r="AA24" s="345">
        <f t="shared" si="19"/>
        <v>32.939578200411226</v>
      </c>
      <c r="AB24" s="346">
        <f t="shared" si="20"/>
        <v>-2.7627836696823126E-3</v>
      </c>
      <c r="AD24">
        <f t="shared" si="25"/>
        <v>0</v>
      </c>
      <c r="AE24">
        <f t="shared" si="21"/>
        <v>0</v>
      </c>
    </row>
    <row r="25" spans="1:31" x14ac:dyDescent="0.2">
      <c r="A25" s="347">
        <v>3.02</v>
      </c>
      <c r="B25" s="364">
        <f t="shared" si="22"/>
        <v>3.0200000000000001E-3</v>
      </c>
      <c r="C25" s="337">
        <f t="shared" si="0"/>
        <v>1.0000000011795067</v>
      </c>
      <c r="D25" s="338">
        <f t="shared" si="1"/>
        <v>4.856967843965999E-5</v>
      </c>
      <c r="E25" s="338">
        <f t="shared" si="2"/>
        <v>1.000000000000016</v>
      </c>
      <c r="F25" s="339">
        <f t="shared" si="3"/>
        <v>1.7836706429639813E-7</v>
      </c>
      <c r="G25" s="338">
        <f t="shared" si="4"/>
        <v>1</v>
      </c>
      <c r="H25" s="339">
        <f t="shared" si="5"/>
        <v>0</v>
      </c>
      <c r="I25" s="337">
        <f t="shared" si="6"/>
        <v>21.882815990655832</v>
      </c>
      <c r="J25" s="340">
        <f t="shared" si="7"/>
        <v>1.5250824489070236</v>
      </c>
      <c r="K25" s="348">
        <f t="shared" si="8"/>
        <v>1.0000001260443196</v>
      </c>
      <c r="L25" s="349">
        <f t="shared" si="9"/>
        <v>5.0208426858484694E-4</v>
      </c>
      <c r="M25" s="337">
        <f t="shared" si="10"/>
        <v>1.0000000000044014</v>
      </c>
      <c r="N25" s="340">
        <f t="shared" si="11"/>
        <v>2.9669332820732943E-6</v>
      </c>
      <c r="O25" s="341">
        <f t="shared" si="12"/>
        <v>1.0000000000017712</v>
      </c>
      <c r="P25" s="342">
        <f t="shared" si="13"/>
        <v>4.4819033206977684E-6</v>
      </c>
      <c r="Q25" s="343">
        <f t="shared" si="14"/>
        <v>65.626772511686241</v>
      </c>
      <c r="R25" s="344">
        <f t="shared" si="15"/>
        <v>-87.355219926923056</v>
      </c>
      <c r="S25" s="346">
        <f t="shared" si="16"/>
        <v>92.644780073076944</v>
      </c>
      <c r="U25" s="319">
        <f t="shared" si="23"/>
        <v>1000000000</v>
      </c>
      <c r="V25" s="319">
        <f t="shared" si="24"/>
        <v>9.1204000000000001</v>
      </c>
      <c r="X25" s="345">
        <f t="shared" si="17"/>
        <v>70.90516132634788</v>
      </c>
      <c r="Y25" s="346">
        <f t="shared" si="18"/>
        <v>-87.352190514868227</v>
      </c>
      <c r="AA25" s="345">
        <f t="shared" si="19"/>
        <v>32.939578198684615</v>
      </c>
      <c r="AB25" s="346">
        <f t="shared" si="20"/>
        <v>-3.0294120548350037E-3</v>
      </c>
      <c r="AD25">
        <f t="shared" si="25"/>
        <v>0</v>
      </c>
      <c r="AE25">
        <f t="shared" si="21"/>
        <v>0</v>
      </c>
    </row>
    <row r="26" spans="1:31" x14ac:dyDescent="0.2">
      <c r="A26" s="347">
        <v>3.3113000000000001</v>
      </c>
      <c r="B26" s="364">
        <f t="shared" si="22"/>
        <v>3.3113000000000001E-3</v>
      </c>
      <c r="C26" s="337">
        <f t="shared" si="0"/>
        <v>1.0000000014180241</v>
      </c>
      <c r="D26" s="338">
        <f t="shared" si="1"/>
        <v>5.3254561652871688E-5</v>
      </c>
      <c r="E26" s="338">
        <f t="shared" si="2"/>
        <v>1.0000000000000191</v>
      </c>
      <c r="F26" s="339">
        <f t="shared" si="3"/>
        <v>1.9557180794856354E-7</v>
      </c>
      <c r="G26" s="338">
        <f t="shared" si="4"/>
        <v>1</v>
      </c>
      <c r="H26" s="339">
        <f t="shared" si="5"/>
        <v>0</v>
      </c>
      <c r="I26" s="337">
        <f t="shared" si="6"/>
        <v>23.989351386466886</v>
      </c>
      <c r="J26" s="340">
        <f t="shared" si="7"/>
        <v>1.5290990829066873</v>
      </c>
      <c r="K26" s="348">
        <f t="shared" si="8"/>
        <v>1.0000001515327293</v>
      </c>
      <c r="L26" s="349">
        <f t="shared" si="9"/>
        <v>5.5051377824982632E-4</v>
      </c>
      <c r="M26" s="337">
        <f t="shared" si="10"/>
        <v>1.0000000000052913</v>
      </c>
      <c r="N26" s="340">
        <f t="shared" si="11"/>
        <v>3.2531146281203544E-6</v>
      </c>
      <c r="O26" s="341">
        <f t="shared" si="12"/>
        <v>1.0000000000021294</v>
      </c>
      <c r="P26" s="342">
        <f t="shared" si="13"/>
        <v>4.914214061533527E-6</v>
      </c>
      <c r="Q26" s="343">
        <f t="shared" si="14"/>
        <v>64.828466782777184</v>
      </c>
      <c r="R26" s="344">
        <f t="shared" si="15"/>
        <v>-87.582889901545613</v>
      </c>
      <c r="S26" s="346">
        <f t="shared" si="16"/>
        <v>92.417110098454387</v>
      </c>
      <c r="U26" s="319">
        <f t="shared" si="23"/>
        <v>1000000000</v>
      </c>
      <c r="V26" s="319">
        <f t="shared" si="24"/>
        <v>10.964707690000001</v>
      </c>
      <c r="X26" s="345">
        <f t="shared" si="17"/>
        <v>70.106855599513651</v>
      </c>
      <c r="Y26" s="346">
        <f t="shared" si="18"/>
        <v>-87.579568281633129</v>
      </c>
      <c r="AA26" s="345">
        <f t="shared" si="19"/>
        <v>32.939578196609801</v>
      </c>
      <c r="AB26" s="346">
        <f t="shared" si="20"/>
        <v>-3.3216199124868066E-3</v>
      </c>
      <c r="AD26">
        <f t="shared" si="25"/>
        <v>0</v>
      </c>
      <c r="AE26">
        <f t="shared" si="21"/>
        <v>0</v>
      </c>
    </row>
    <row r="27" spans="1:31" x14ac:dyDescent="0.2">
      <c r="A27" s="347">
        <v>3.6307999999999998</v>
      </c>
      <c r="B27" s="364">
        <f t="shared" si="22"/>
        <v>3.6308E-3</v>
      </c>
      <c r="C27" s="337">
        <f t="shared" si="0"/>
        <v>1.0000000017048698</v>
      </c>
      <c r="D27" s="338">
        <f t="shared" si="1"/>
        <v>5.8392976297004448E-5</v>
      </c>
      <c r="E27" s="338">
        <f t="shared" si="2"/>
        <v>1.0000000000000231</v>
      </c>
      <c r="F27" s="339">
        <f t="shared" si="3"/>
        <v>2.1444209836005274E-7</v>
      </c>
      <c r="G27" s="338">
        <f t="shared" si="4"/>
        <v>1</v>
      </c>
      <c r="H27" s="339">
        <f t="shared" si="5"/>
        <v>0</v>
      </c>
      <c r="I27" s="337">
        <f t="shared" si="6"/>
        <v>26.300185324461626</v>
      </c>
      <c r="J27" s="340">
        <f t="shared" si="7"/>
        <v>1.532764613448284</v>
      </c>
      <c r="K27" s="348">
        <f t="shared" si="8"/>
        <v>1.0000001821855944</v>
      </c>
      <c r="L27" s="349">
        <f t="shared" si="9"/>
        <v>6.0363162057904722E-4</v>
      </c>
      <c r="M27" s="337">
        <f t="shared" si="10"/>
        <v>1.0000000000063618</v>
      </c>
      <c r="N27" s="340">
        <f t="shared" si="11"/>
        <v>3.5670004505091511E-6</v>
      </c>
      <c r="O27" s="341">
        <f t="shared" si="12"/>
        <v>1.0000000000025602</v>
      </c>
      <c r="P27" s="342">
        <f t="shared" si="13"/>
        <v>5.3883756876824125E-6</v>
      </c>
      <c r="Q27" s="343">
        <f t="shared" si="14"/>
        <v>64.02966098858704</v>
      </c>
      <c r="R27" s="344">
        <f t="shared" si="15"/>
        <v>-87.790204383387348</v>
      </c>
      <c r="S27" s="346">
        <f t="shared" si="16"/>
        <v>92.209795616612652</v>
      </c>
      <c r="U27" s="319">
        <f t="shared" si="23"/>
        <v>1000000000</v>
      </c>
      <c r="V27" s="319">
        <f t="shared" si="24"/>
        <v>13.182708639999998</v>
      </c>
      <c r="X27" s="345">
        <f t="shared" si="17"/>
        <v>69.308049807818733</v>
      </c>
      <c r="Y27" s="346">
        <f t="shared" si="18"/>
        <v>-87.786562267730019</v>
      </c>
      <c r="AA27" s="345">
        <f t="shared" si="19"/>
        <v>32.939578194114581</v>
      </c>
      <c r="AB27" s="346">
        <f t="shared" si="20"/>
        <v>-3.6421156573366769E-3</v>
      </c>
      <c r="AD27">
        <f t="shared" si="25"/>
        <v>0</v>
      </c>
      <c r="AE27">
        <f t="shared" si="21"/>
        <v>0</v>
      </c>
    </row>
    <row r="28" spans="1:31" x14ac:dyDescent="0.2">
      <c r="A28" s="347">
        <v>3.9811000000000001</v>
      </c>
      <c r="B28" s="364">
        <f t="shared" si="22"/>
        <v>3.9811000000000004E-3</v>
      </c>
      <c r="C28" s="337">
        <f t="shared" si="0"/>
        <v>1.0000000020497115</v>
      </c>
      <c r="D28" s="338">
        <f t="shared" si="1"/>
        <v>6.4026737325812832E-5</v>
      </c>
      <c r="E28" s="338">
        <f t="shared" si="2"/>
        <v>1.0000000000000275</v>
      </c>
      <c r="F28" s="339">
        <f t="shared" si="3"/>
        <v>2.3513149657959769E-7</v>
      </c>
      <c r="G28" s="338">
        <f t="shared" si="4"/>
        <v>1</v>
      </c>
      <c r="H28" s="339">
        <f t="shared" si="5"/>
        <v>0</v>
      </c>
      <c r="I28" s="337">
        <f t="shared" si="6"/>
        <v>28.834122978576595</v>
      </c>
      <c r="J28" s="340">
        <f t="shared" si="7"/>
        <v>1.5361082396004959</v>
      </c>
      <c r="K28" s="348">
        <f t="shared" si="8"/>
        <v>1.0000002190360229</v>
      </c>
      <c r="L28" s="349">
        <f t="shared" si="9"/>
        <v>6.6187005223366006E-4</v>
      </c>
      <c r="M28" s="337">
        <f t="shared" si="10"/>
        <v>1.0000000000076485</v>
      </c>
      <c r="N28" s="340">
        <f t="shared" si="11"/>
        <v>3.9111450626610668E-6</v>
      </c>
      <c r="O28" s="341">
        <f t="shared" si="12"/>
        <v>1.000000000003078</v>
      </c>
      <c r="P28" s="342">
        <f t="shared" si="13"/>
        <v>5.9082467914074979E-6</v>
      </c>
      <c r="Q28" s="343">
        <f t="shared" si="14"/>
        <v>63.230702552743139</v>
      </c>
      <c r="R28" s="344">
        <f t="shared" si="15"/>
        <v>-87.978814343823387</v>
      </c>
      <c r="S28" s="346">
        <f t="shared" si="16"/>
        <v>92.021185656176613</v>
      </c>
      <c r="U28" s="319">
        <f t="shared" si="23"/>
        <v>1000000000</v>
      </c>
      <c r="V28" s="319">
        <f t="shared" si="24"/>
        <v>15.849157210000001</v>
      </c>
      <c r="X28" s="345">
        <f t="shared" si="17"/>
        <v>68.509091374974531</v>
      </c>
      <c r="Y28" s="346">
        <f t="shared" si="18"/>
        <v>-87.974820836430993</v>
      </c>
      <c r="AA28" s="345">
        <f t="shared" si="19"/>
        <v>32.939578191114862</v>
      </c>
      <c r="AB28" s="346">
        <f t="shared" si="20"/>
        <v>-3.9935073924098115E-3</v>
      </c>
      <c r="AD28">
        <f t="shared" si="25"/>
        <v>0</v>
      </c>
      <c r="AE28">
        <f t="shared" si="21"/>
        <v>0</v>
      </c>
    </row>
    <row r="29" spans="1:31" x14ac:dyDescent="0.2">
      <c r="A29" s="347">
        <v>4.3651999999999997</v>
      </c>
      <c r="B29" s="364">
        <f t="shared" si="22"/>
        <v>4.3651999999999996E-3</v>
      </c>
      <c r="C29" s="337">
        <f t="shared" si="0"/>
        <v>1.0000000024643072</v>
      </c>
      <c r="D29" s="338">
        <f t="shared" si="1"/>
        <v>7.0204092762650542E-5</v>
      </c>
      <c r="E29" s="338">
        <f t="shared" si="2"/>
        <v>1.0000000000000333</v>
      </c>
      <c r="F29" s="339">
        <f t="shared" si="3"/>
        <v>2.5781718843265827E-7</v>
      </c>
      <c r="G29" s="338">
        <f t="shared" si="4"/>
        <v>1</v>
      </c>
      <c r="H29" s="339">
        <f t="shared" si="5"/>
        <v>0</v>
      </c>
      <c r="I29" s="337">
        <f t="shared" si="6"/>
        <v>31.612865295249868</v>
      </c>
      <c r="J29" s="340">
        <f t="shared" si="7"/>
        <v>1.5391583579810009</v>
      </c>
      <c r="K29" s="348">
        <f t="shared" si="8"/>
        <v>1.0000002633404999</v>
      </c>
      <c r="L29" s="349">
        <f t="shared" si="9"/>
        <v>7.2572783066845905E-4</v>
      </c>
      <c r="M29" s="337">
        <f t="shared" si="10"/>
        <v>1.0000000000091958</v>
      </c>
      <c r="N29" s="340">
        <f t="shared" si="11"/>
        <v>4.2884957492930296E-6</v>
      </c>
      <c r="O29" s="341">
        <f t="shared" si="12"/>
        <v>1.0000000000037006</v>
      </c>
      <c r="P29" s="342">
        <f t="shared" si="13"/>
        <v>6.478279594550827E-6</v>
      </c>
      <c r="Q29" s="343">
        <f t="shared" si="14"/>
        <v>62.431560646614265</v>
      </c>
      <c r="R29" s="344">
        <f t="shared" si="15"/>
        <v>-88.150321390720407</v>
      </c>
      <c r="S29" s="346">
        <f t="shared" si="16"/>
        <v>91.849678609279593</v>
      </c>
      <c r="U29" s="319">
        <f t="shared" si="23"/>
        <v>1000000000</v>
      </c>
      <c r="V29" s="319">
        <f t="shared" si="24"/>
        <v>19.054971039999998</v>
      </c>
      <c r="X29" s="345">
        <f t="shared" si="17"/>
        <v>67.709949472452152</v>
      </c>
      <c r="Y29" s="346">
        <f t="shared" si="18"/>
        <v>-88.145942586253071</v>
      </c>
      <c r="AA29" s="345">
        <f t="shared" si="19"/>
        <v>32.939578187508374</v>
      </c>
      <c r="AB29" s="346">
        <f t="shared" si="20"/>
        <v>-4.3788044673386817E-3</v>
      </c>
      <c r="AD29">
        <f t="shared" si="25"/>
        <v>0</v>
      </c>
      <c r="AE29">
        <f t="shared" si="21"/>
        <v>0</v>
      </c>
    </row>
    <row r="30" spans="1:31" x14ac:dyDescent="0.2">
      <c r="A30" s="347">
        <v>4.7862999999999998</v>
      </c>
      <c r="B30" s="364">
        <f t="shared" si="22"/>
        <v>4.7862999999999994E-3</v>
      </c>
      <c r="C30" s="337">
        <f t="shared" si="0"/>
        <v>1.0000000029626912</v>
      </c>
      <c r="D30" s="338">
        <f t="shared" si="1"/>
        <v>7.6976507165360194E-5</v>
      </c>
      <c r="E30" s="338">
        <f t="shared" si="2"/>
        <v>1.00000000000004</v>
      </c>
      <c r="F30" s="339">
        <f t="shared" si="3"/>
        <v>2.8268817213305849E-7</v>
      </c>
      <c r="G30" s="338">
        <f t="shared" si="4"/>
        <v>1</v>
      </c>
      <c r="H30" s="339">
        <f t="shared" si="5"/>
        <v>0</v>
      </c>
      <c r="I30" s="337">
        <f t="shared" si="6"/>
        <v>34.659562465025012</v>
      </c>
      <c r="J30" s="340">
        <f t="shared" si="7"/>
        <v>1.5419402558823783</v>
      </c>
      <c r="K30" s="348">
        <f t="shared" si="8"/>
        <v>1.000000316598741</v>
      </c>
      <c r="L30" s="349">
        <f t="shared" si="9"/>
        <v>7.9573696339190077E-4</v>
      </c>
      <c r="M30" s="337">
        <f t="shared" si="10"/>
        <v>1.0000000000110554</v>
      </c>
      <c r="N30" s="340">
        <f t="shared" si="11"/>
        <v>4.7021962807696731E-6</v>
      </c>
      <c r="O30" s="341">
        <f t="shared" si="12"/>
        <v>1.0000000000044491</v>
      </c>
      <c r="P30" s="342">
        <f t="shared" si="13"/>
        <v>7.1032231337439939E-6</v>
      </c>
      <c r="Q30" s="343">
        <f t="shared" si="14"/>
        <v>61.632376800883165</v>
      </c>
      <c r="R30" s="344">
        <f t="shared" si="15"/>
        <v>-88.306147287532937</v>
      </c>
      <c r="S30" s="346">
        <f t="shared" si="16"/>
        <v>91.693852712467063</v>
      </c>
      <c r="U30" s="319">
        <f t="shared" si="23"/>
        <v>1000000000</v>
      </c>
      <c r="V30" s="319">
        <f t="shared" si="24"/>
        <v>22.908667689999998</v>
      </c>
      <c r="X30" s="345">
        <f t="shared" si="17"/>
        <v>66.910765631056407</v>
      </c>
      <c r="Y30" s="346">
        <f t="shared" si="18"/>
        <v>-88.301346070677894</v>
      </c>
      <c r="AA30" s="345">
        <f t="shared" si="19"/>
        <v>32.939578183173026</v>
      </c>
      <c r="AB30" s="346">
        <f t="shared" si="20"/>
        <v>-4.8012168550415979E-3</v>
      </c>
      <c r="AD30">
        <f t="shared" si="25"/>
        <v>0</v>
      </c>
      <c r="AE30">
        <f t="shared" si="21"/>
        <v>0</v>
      </c>
    </row>
    <row r="31" spans="1:31" x14ac:dyDescent="0.2">
      <c r="A31" s="347">
        <v>5.2481</v>
      </c>
      <c r="B31" s="364">
        <f t="shared" si="22"/>
        <v>5.2481000000000003E-3</v>
      </c>
      <c r="C31" s="337">
        <f t="shared" si="0"/>
        <v>1.0000000035619743</v>
      </c>
      <c r="D31" s="338">
        <f t="shared" si="1"/>
        <v>8.4403486428583202E-5</v>
      </c>
      <c r="E31" s="338">
        <f t="shared" si="2"/>
        <v>1.000000000000048</v>
      </c>
      <c r="F31" s="339">
        <f t="shared" si="3"/>
        <v>3.0996297686553209E-7</v>
      </c>
      <c r="G31" s="338">
        <f t="shared" si="4"/>
        <v>1</v>
      </c>
      <c r="H31" s="339">
        <f t="shared" si="5"/>
        <v>0</v>
      </c>
      <c r="I31" s="337">
        <f t="shared" si="6"/>
        <v>38.000984403746976</v>
      </c>
      <c r="J31" s="340">
        <f t="shared" si="7"/>
        <v>1.5444781809409995</v>
      </c>
      <c r="K31" s="348">
        <f t="shared" si="8"/>
        <v>1.000000380639225</v>
      </c>
      <c r="L31" s="349">
        <f t="shared" si="9"/>
        <v>8.7251258368338828E-4</v>
      </c>
      <c r="M31" s="337">
        <f t="shared" si="10"/>
        <v>1.0000000000132916</v>
      </c>
      <c r="N31" s="340">
        <f t="shared" si="11"/>
        <v>5.1558816415750234E-6</v>
      </c>
      <c r="O31" s="341">
        <f t="shared" si="12"/>
        <v>1.0000000000053491</v>
      </c>
      <c r="P31" s="342">
        <f t="shared" si="13"/>
        <v>7.7885684825923421E-6</v>
      </c>
      <c r="Q31" s="343">
        <f t="shared" si="14"/>
        <v>60.832941930783107</v>
      </c>
      <c r="R31" s="344">
        <f t="shared" si="15"/>
        <v>-88.447649996749433</v>
      </c>
      <c r="S31" s="346">
        <f t="shared" si="16"/>
        <v>91.552350003250567</v>
      </c>
      <c r="U31" s="319">
        <f t="shared" si="23"/>
        <v>1000000000</v>
      </c>
      <c r="V31" s="319">
        <f t="shared" si="24"/>
        <v>27.542553609999999</v>
      </c>
      <c r="X31" s="345">
        <f t="shared" si="17"/>
        <v>66.111330766169402</v>
      </c>
      <c r="Y31" s="346">
        <f t="shared" si="18"/>
        <v>-88.442385540662741</v>
      </c>
      <c r="AA31" s="345">
        <f t="shared" si="19"/>
        <v>32.939578177959973</v>
      </c>
      <c r="AB31" s="346">
        <f t="shared" si="20"/>
        <v>-5.264456086684504E-3</v>
      </c>
      <c r="AD31">
        <f t="shared" si="25"/>
        <v>0</v>
      </c>
      <c r="AE31">
        <f t="shared" si="21"/>
        <v>0</v>
      </c>
    </row>
    <row r="32" spans="1:31" x14ac:dyDescent="0.2">
      <c r="A32" s="347">
        <v>5.7544000000000004</v>
      </c>
      <c r="B32" s="364">
        <f t="shared" si="22"/>
        <v>5.7544000000000007E-3</v>
      </c>
      <c r="C32" s="337">
        <f t="shared" si="0"/>
        <v>1.0000000042823944</v>
      </c>
      <c r="D32" s="338">
        <f t="shared" si="1"/>
        <v>9.2546144713586117E-5</v>
      </c>
      <c r="E32" s="338">
        <f t="shared" si="2"/>
        <v>1.0000000000000577</v>
      </c>
      <c r="F32" s="339">
        <f t="shared" si="3"/>
        <v>3.3986603800899497E-7</v>
      </c>
      <c r="G32" s="338">
        <f t="shared" si="4"/>
        <v>1</v>
      </c>
      <c r="H32" s="339">
        <f t="shared" si="5"/>
        <v>0</v>
      </c>
      <c r="I32" s="337">
        <f t="shared" si="6"/>
        <v>41.664626639897961</v>
      </c>
      <c r="J32" s="340">
        <f t="shared" si="7"/>
        <v>1.5467928467459466</v>
      </c>
      <c r="K32" s="348">
        <f t="shared" si="8"/>
        <v>1.0000004576246555</v>
      </c>
      <c r="L32" s="349">
        <f t="shared" si="9"/>
        <v>9.5668644916500076E-4</v>
      </c>
      <c r="M32" s="337">
        <f t="shared" si="10"/>
        <v>1.0000000000159797</v>
      </c>
      <c r="N32" s="340">
        <f t="shared" si="11"/>
        <v>5.6532850590168143E-6</v>
      </c>
      <c r="O32" s="341">
        <f t="shared" si="12"/>
        <v>1.0000000000064309</v>
      </c>
      <c r="P32" s="342">
        <f t="shared" si="13"/>
        <v>8.5399551220960959E-6</v>
      </c>
      <c r="Q32" s="343">
        <f t="shared" si="14"/>
        <v>60.03348964509474</v>
      </c>
      <c r="R32" s="344">
        <f t="shared" si="15"/>
        <v>-88.57598414829971</v>
      </c>
      <c r="S32" s="346">
        <f t="shared" si="16"/>
        <v>91.42401585170029</v>
      </c>
      <c r="U32" s="319">
        <f t="shared" si="23"/>
        <v>1000000000</v>
      </c>
      <c r="V32" s="319">
        <f t="shared" si="24"/>
        <v>33.113119360000006</v>
      </c>
      <c r="X32" s="345">
        <f t="shared" si="17"/>
        <v>65.31187848674783</v>
      </c>
      <c r="Y32" s="346">
        <f t="shared" si="18"/>
        <v>-88.570211814294666</v>
      </c>
      <c r="AA32" s="345">
        <f t="shared" si="19"/>
        <v>32.939578171693171</v>
      </c>
      <c r="AB32" s="346">
        <f t="shared" si="20"/>
        <v>-5.7723340050407799E-3</v>
      </c>
      <c r="AD32">
        <f t="shared" si="25"/>
        <v>0</v>
      </c>
      <c r="AE32">
        <f t="shared" si="21"/>
        <v>0</v>
      </c>
    </row>
    <row r="33" spans="1:31" x14ac:dyDescent="0.2">
      <c r="A33" s="347">
        <v>6.3095999999999997</v>
      </c>
      <c r="B33" s="364">
        <f t="shared" si="22"/>
        <v>6.3095999999999994E-3</v>
      </c>
      <c r="C33" s="337">
        <f t="shared" si="0"/>
        <v>1.0000000051486126</v>
      </c>
      <c r="D33" s="338">
        <f t="shared" si="1"/>
        <v>1.0147524578542265E-4</v>
      </c>
      <c r="E33" s="338">
        <f t="shared" si="2"/>
        <v>1.0000000000000693</v>
      </c>
      <c r="F33" s="339">
        <f t="shared" si="3"/>
        <v>3.7265722810745476E-7</v>
      </c>
      <c r="G33" s="338">
        <f t="shared" si="4"/>
        <v>1</v>
      </c>
      <c r="H33" s="339">
        <f t="shared" si="5"/>
        <v>0</v>
      </c>
      <c r="I33" s="337">
        <f t="shared" si="6"/>
        <v>45.682328089566141</v>
      </c>
      <c r="J33" s="340">
        <f t="shared" si="7"/>
        <v>1.5489042752450606</v>
      </c>
      <c r="K33" s="348">
        <f t="shared" si="8"/>
        <v>1.0000005501903335</v>
      </c>
      <c r="L33" s="349">
        <f t="shared" si="9"/>
        <v>1.0489900679737749E-3</v>
      </c>
      <c r="M33" s="337">
        <f t="shared" si="10"/>
        <v>1.0000000000192122</v>
      </c>
      <c r="N33" s="340">
        <f t="shared" si="11"/>
        <v>6.1987292173459656E-6</v>
      </c>
      <c r="O33" s="341">
        <f t="shared" si="12"/>
        <v>1.0000000000077316</v>
      </c>
      <c r="P33" s="342">
        <f t="shared" si="13"/>
        <v>9.3639129776240653E-6</v>
      </c>
      <c r="Q33" s="343">
        <f t="shared" si="14"/>
        <v>59.23387575873457</v>
      </c>
      <c r="R33" s="344">
        <f t="shared" si="15"/>
        <v>-88.692259664349223</v>
      </c>
      <c r="S33" s="346">
        <f t="shared" si="16"/>
        <v>91.307740335650777</v>
      </c>
      <c r="U33" s="319">
        <f t="shared" si="23"/>
        <v>1000000000</v>
      </c>
      <c r="V33" s="319">
        <f t="shared" si="24"/>
        <v>39.811052159999996</v>
      </c>
      <c r="X33" s="345">
        <f t="shared" si="17"/>
        <v>64.512264607922731</v>
      </c>
      <c r="Y33" s="346">
        <f t="shared" si="18"/>
        <v>-88.685930400026464</v>
      </c>
      <c r="AA33" s="345">
        <f t="shared" si="19"/>
        <v>32.939578164158092</v>
      </c>
      <c r="AB33" s="346">
        <f t="shared" si="20"/>
        <v>-6.329264322759689E-3</v>
      </c>
      <c r="AD33">
        <f t="shared" si="25"/>
        <v>0</v>
      </c>
      <c r="AE33">
        <f t="shared" si="21"/>
        <v>0</v>
      </c>
    </row>
    <row r="34" spans="1:31" x14ac:dyDescent="0.2">
      <c r="A34" s="347">
        <v>6.9183000000000003</v>
      </c>
      <c r="B34" s="364">
        <f t="shared" si="22"/>
        <v>6.9183000000000005E-3</v>
      </c>
      <c r="C34" s="337">
        <f t="shared" si="0"/>
        <v>1.0000000061899246</v>
      </c>
      <c r="D34" s="338">
        <f t="shared" si="1"/>
        <v>1.1126476994261612E-4</v>
      </c>
      <c r="E34" s="338">
        <f t="shared" si="2"/>
        <v>1.0000000000000835</v>
      </c>
      <c r="F34" s="339">
        <f t="shared" si="3"/>
        <v>4.0860823209328331E-7</v>
      </c>
      <c r="G34" s="338">
        <f t="shared" si="4"/>
        <v>1</v>
      </c>
      <c r="H34" s="339">
        <f t="shared" si="5"/>
        <v>0</v>
      </c>
      <c r="I34" s="337">
        <f t="shared" si="6"/>
        <v>50.087376650694154</v>
      </c>
      <c r="J34" s="340">
        <f t="shared" si="7"/>
        <v>1.5508298898787585</v>
      </c>
      <c r="K34" s="348">
        <f t="shared" si="8"/>
        <v>1.0000006614668091</v>
      </c>
      <c r="L34" s="349">
        <f t="shared" si="9"/>
        <v>1.1501881971742625E-3</v>
      </c>
      <c r="M34" s="337">
        <f t="shared" si="10"/>
        <v>1.0000000000230977</v>
      </c>
      <c r="N34" s="340">
        <f t="shared" si="11"/>
        <v>6.796733286460871E-6</v>
      </c>
      <c r="O34" s="341">
        <f t="shared" si="12"/>
        <v>1.0000000000092952</v>
      </c>
      <c r="P34" s="342">
        <f t="shared" si="13"/>
        <v>1.0267268789334784E-5</v>
      </c>
      <c r="Q34" s="343">
        <f t="shared" si="14"/>
        <v>58.434275569356004</v>
      </c>
      <c r="R34" s="344">
        <f t="shared" si="15"/>
        <v>-88.797435890412672</v>
      </c>
      <c r="S34" s="346">
        <f t="shared" si="16"/>
        <v>91.202564109587328</v>
      </c>
      <c r="U34" s="319">
        <f t="shared" si="23"/>
        <v>1000000000</v>
      </c>
      <c r="V34" s="319">
        <f t="shared" si="24"/>
        <v>47.862874890000008</v>
      </c>
      <c r="X34" s="345">
        <f t="shared" si="17"/>
        <v>63.712664427602348</v>
      </c>
      <c r="Y34" s="346">
        <f t="shared" si="18"/>
        <v>-88.790496029036959</v>
      </c>
      <c r="AA34" s="345">
        <f t="shared" si="19"/>
        <v>32.939578155099916</v>
      </c>
      <c r="AB34" s="346">
        <f t="shared" si="20"/>
        <v>-6.9398613757179397E-3</v>
      </c>
      <c r="AD34">
        <f t="shared" si="25"/>
        <v>0</v>
      </c>
      <c r="AE34">
        <f t="shared" si="21"/>
        <v>0</v>
      </c>
    </row>
    <row r="35" spans="1:31" x14ac:dyDescent="0.2">
      <c r="A35" s="347">
        <v>7.5857999999999999</v>
      </c>
      <c r="B35" s="364">
        <f t="shared" si="22"/>
        <v>7.5858000000000002E-3</v>
      </c>
      <c r="C35" s="337">
        <f t="shared" si="0"/>
        <v>1.0000000074419946</v>
      </c>
      <c r="D35" s="338">
        <f t="shared" si="1"/>
        <v>1.2199995535408586E-4</v>
      </c>
      <c r="E35" s="338">
        <f t="shared" si="2"/>
        <v>1.0000000000001004</v>
      </c>
      <c r="F35" s="339">
        <f t="shared" si="3"/>
        <v>4.4803207825812608E-7</v>
      </c>
      <c r="G35" s="338">
        <f t="shared" si="4"/>
        <v>1</v>
      </c>
      <c r="H35" s="339">
        <f t="shared" si="5"/>
        <v>0</v>
      </c>
      <c r="I35" s="337">
        <f t="shared" si="6"/>
        <v>54.918127459507808</v>
      </c>
      <c r="J35" s="340">
        <f t="shared" si="7"/>
        <v>1.5525863965710012</v>
      </c>
      <c r="K35" s="348">
        <f t="shared" si="8"/>
        <v>1.0000007952652825</v>
      </c>
      <c r="L35" s="349">
        <f t="shared" si="9"/>
        <v>1.261161968670792E-3</v>
      </c>
      <c r="M35" s="337">
        <f t="shared" si="10"/>
        <v>1.0000000000277698</v>
      </c>
      <c r="N35" s="340">
        <f t="shared" si="11"/>
        <v>7.4525041360268094E-6</v>
      </c>
      <c r="O35" s="341">
        <f t="shared" si="12"/>
        <v>1.0000000000111755</v>
      </c>
      <c r="P35" s="342">
        <f t="shared" si="13"/>
        <v>1.1257888149150245E-5</v>
      </c>
      <c r="Q35" s="343">
        <f t="shared" si="14"/>
        <v>57.6345280248119</v>
      </c>
      <c r="R35" s="344">
        <f t="shared" si="15"/>
        <v>-88.892425135136605</v>
      </c>
      <c r="S35" s="346">
        <f t="shared" si="16"/>
        <v>91.107574864863395</v>
      </c>
      <c r="U35" s="319">
        <f t="shared" si="23"/>
        <v>1000000000</v>
      </c>
      <c r="V35" s="319">
        <f t="shared" si="24"/>
        <v>57.544361639999998</v>
      </c>
      <c r="X35" s="345">
        <f t="shared" si="17"/>
        <v>62.91291689394977</v>
      </c>
      <c r="Y35" s="346">
        <f t="shared" si="18"/>
        <v>-88.884815693455323</v>
      </c>
      <c r="AA35" s="345">
        <f t="shared" si="19"/>
        <v>32.93957814420839</v>
      </c>
      <c r="AB35" s="346">
        <f t="shared" si="20"/>
        <v>-7.6094416812746337E-3</v>
      </c>
      <c r="AD35">
        <f t="shared" si="25"/>
        <v>0</v>
      </c>
      <c r="AE35">
        <f t="shared" si="21"/>
        <v>0</v>
      </c>
    </row>
    <row r="36" spans="1:31" x14ac:dyDescent="0.2">
      <c r="A36" s="347">
        <v>8.3176000000000005</v>
      </c>
      <c r="B36" s="364">
        <f t="shared" si="22"/>
        <v>8.3176000000000014E-3</v>
      </c>
      <c r="C36" s="337">
        <f t="shared" si="0"/>
        <v>1.0000000089471071</v>
      </c>
      <c r="D36" s="338">
        <f t="shared" si="1"/>
        <v>1.3376925672110249E-4</v>
      </c>
      <c r="E36" s="338">
        <f t="shared" si="2"/>
        <v>1.0000000000001208</v>
      </c>
      <c r="F36" s="339">
        <f t="shared" si="3"/>
        <v>4.9125360728199253E-7</v>
      </c>
      <c r="G36" s="338">
        <f t="shared" si="4"/>
        <v>1</v>
      </c>
      <c r="H36" s="339">
        <f t="shared" si="5"/>
        <v>0</v>
      </c>
      <c r="I36" s="337">
        <f t="shared" si="6"/>
        <v>60.214384466066299</v>
      </c>
      <c r="J36" s="340">
        <f t="shared" si="7"/>
        <v>1.5541882358579144</v>
      </c>
      <c r="K36" s="348">
        <f t="shared" si="8"/>
        <v>1.0000009561043059</v>
      </c>
      <c r="L36" s="349">
        <f t="shared" si="9"/>
        <v>1.3828257620597871E-3</v>
      </c>
      <c r="M36" s="337">
        <f t="shared" si="10"/>
        <v>1.0000000000333862</v>
      </c>
      <c r="N36" s="340">
        <f t="shared" si="11"/>
        <v>8.1714451213562831E-6</v>
      </c>
      <c r="O36" s="341">
        <f t="shared" si="12"/>
        <v>1.0000000000134359</v>
      </c>
      <c r="P36" s="342">
        <f t="shared" si="13"/>
        <v>1.2343933463782395E-5</v>
      </c>
      <c r="Q36" s="343">
        <f t="shared" si="14"/>
        <v>56.834838798894005</v>
      </c>
      <c r="R36" s="344">
        <f t="shared" si="15"/>
        <v>-88.978008216934072</v>
      </c>
      <c r="S36" s="346">
        <f t="shared" si="16"/>
        <v>91.021991783065928</v>
      </c>
      <c r="U36" s="319">
        <f t="shared" si="23"/>
        <v>1000000000</v>
      </c>
      <c r="V36" s="319">
        <f t="shared" si="24"/>
        <v>69.182469760000004</v>
      </c>
      <c r="X36" s="345">
        <f t="shared" si="17"/>
        <v>62.11322768112457</v>
      </c>
      <c r="Y36" s="346">
        <f t="shared" si="18"/>
        <v>-88.969664694554098</v>
      </c>
      <c r="AA36" s="345">
        <f t="shared" si="19"/>
        <v>32.939578131115695</v>
      </c>
      <c r="AB36" s="346">
        <f t="shared" si="20"/>
        <v>-8.3435223799522579E-3</v>
      </c>
      <c r="AD36">
        <f t="shared" si="25"/>
        <v>0</v>
      </c>
      <c r="AE36">
        <f t="shared" si="21"/>
        <v>0</v>
      </c>
    </row>
    <row r="37" spans="1:31" x14ac:dyDescent="0.2">
      <c r="A37" s="347">
        <v>9.1201000000000008</v>
      </c>
      <c r="B37" s="364">
        <f t="shared" si="22"/>
        <v>9.1201000000000008E-3</v>
      </c>
      <c r="C37" s="337">
        <f t="shared" si="0"/>
        <v>1.0000000107568663</v>
      </c>
      <c r="D37" s="338">
        <f t="shared" si="1"/>
        <v>1.4667560314876918E-4</v>
      </c>
      <c r="E37" s="338">
        <f t="shared" si="2"/>
        <v>1.0000000000001452</v>
      </c>
      <c r="F37" s="339">
        <f t="shared" si="3"/>
        <v>5.3865081559252995E-7</v>
      </c>
      <c r="G37" s="338">
        <f t="shared" si="4"/>
        <v>1</v>
      </c>
      <c r="H37" s="339">
        <f t="shared" si="5"/>
        <v>0</v>
      </c>
      <c r="I37" s="337">
        <f t="shared" si="6"/>
        <v>66.022466408020449</v>
      </c>
      <c r="J37" s="340">
        <f t="shared" si="7"/>
        <v>1.5556493882795381</v>
      </c>
      <c r="K37" s="348">
        <f t="shared" si="8"/>
        <v>1.0000011494983991</v>
      </c>
      <c r="L37" s="349">
        <f t="shared" si="9"/>
        <v>1.5162435806685298E-3</v>
      </c>
      <c r="M37" s="337">
        <f t="shared" si="10"/>
        <v>1.0000000000401394</v>
      </c>
      <c r="N37" s="340">
        <f t="shared" si="11"/>
        <v>8.9598437831761493E-6</v>
      </c>
      <c r="O37" s="341">
        <f t="shared" si="12"/>
        <v>1.0000000000161535</v>
      </c>
      <c r="P37" s="342">
        <f t="shared" si="13"/>
        <v>1.3534902806496363E-5</v>
      </c>
      <c r="Q37" s="343">
        <f t="shared" si="14"/>
        <v>56.035010601105654</v>
      </c>
      <c r="R37" s="344">
        <f t="shared" si="15"/>
        <v>-89.054931979040191</v>
      </c>
      <c r="S37" s="346">
        <f t="shared" si="16"/>
        <v>90.945068020959809</v>
      </c>
      <c r="U37" s="319">
        <f t="shared" si="23"/>
        <v>1000000000</v>
      </c>
      <c r="V37" s="319">
        <f t="shared" si="24"/>
        <v>83.176224010000013</v>
      </c>
      <c r="X37" s="345">
        <f t="shared" si="17"/>
        <v>61.313399499078976</v>
      </c>
      <c r="Y37" s="346">
        <f t="shared" si="18"/>
        <v>-89.045783455623194</v>
      </c>
      <c r="AA37" s="345">
        <f t="shared" si="19"/>
        <v>32.939578115372932</v>
      </c>
      <c r="AB37" s="346">
        <f t="shared" si="20"/>
        <v>-9.1485234169812364E-3</v>
      </c>
      <c r="AD37">
        <f t="shared" si="25"/>
        <v>0</v>
      </c>
      <c r="AE37">
        <f t="shared" si="21"/>
        <v>0</v>
      </c>
    </row>
    <row r="38" spans="1:31" x14ac:dyDescent="0.2">
      <c r="A38" s="347">
        <v>10</v>
      </c>
      <c r="B38" s="364">
        <f t="shared" si="22"/>
        <v>0.01</v>
      </c>
      <c r="C38" s="337">
        <f t="shared" si="0"/>
        <v>1.0000000129326216</v>
      </c>
      <c r="D38" s="338">
        <f t="shared" si="1"/>
        <v>1.6082674854005514E-4</v>
      </c>
      <c r="E38" s="338">
        <f t="shared" si="2"/>
        <v>1.0000000000001745</v>
      </c>
      <c r="F38" s="339">
        <f t="shared" si="3"/>
        <v>5.9061941819993136E-7</v>
      </c>
      <c r="G38" s="338">
        <f t="shared" si="4"/>
        <v>1</v>
      </c>
      <c r="H38" s="339">
        <f t="shared" si="5"/>
        <v>0</v>
      </c>
      <c r="I38" s="337">
        <f t="shared" si="6"/>
        <v>72.390864465241023</v>
      </c>
      <c r="J38" s="340">
        <f t="shared" si="7"/>
        <v>1.5569819896671315</v>
      </c>
      <c r="K38" s="348">
        <f t="shared" si="8"/>
        <v>1.0000013820034259</v>
      </c>
      <c r="L38" s="349">
        <f t="shared" si="9"/>
        <v>1.6625292986326133E-3</v>
      </c>
      <c r="M38" s="337">
        <f t="shared" si="10"/>
        <v>1.0000000000482583</v>
      </c>
      <c r="N38" s="340">
        <f t="shared" si="11"/>
        <v>9.8242823906839308E-6</v>
      </c>
      <c r="O38" s="341">
        <f t="shared" si="12"/>
        <v>1.0000000000194209</v>
      </c>
      <c r="P38" s="342">
        <f t="shared" si="13"/>
        <v>1.4840739472742324E-5</v>
      </c>
      <c r="Q38" s="343">
        <f t="shared" si="14"/>
        <v>55.235172230324963</v>
      </c>
      <c r="R38" s="344">
        <f t="shared" si="15"/>
        <v>-89.123835031097073</v>
      </c>
      <c r="S38" s="346">
        <f t="shared" si="16"/>
        <v>90.876164968902927</v>
      </c>
      <c r="U38" s="319">
        <f t="shared" si="23"/>
        <v>1000000000</v>
      </c>
      <c r="V38" s="319">
        <f t="shared" si="24"/>
        <v>100</v>
      </c>
      <c r="X38" s="345">
        <f t="shared" si="17"/>
        <v>60.513561147224799</v>
      </c>
      <c r="Y38" s="346">
        <f t="shared" si="18"/>
        <v>-89.113803865424785</v>
      </c>
      <c r="AA38" s="345">
        <f t="shared" si="19"/>
        <v>32.939578096446439</v>
      </c>
      <c r="AB38" s="346">
        <f t="shared" si="20"/>
        <v>-1.0031165672299225E-2</v>
      </c>
      <c r="AD38">
        <f t="shared" si="25"/>
        <v>0</v>
      </c>
      <c r="AE38">
        <f t="shared" si="21"/>
        <v>0</v>
      </c>
    </row>
    <row r="39" spans="1:31" x14ac:dyDescent="0.2">
      <c r="A39" s="347">
        <v>10.965</v>
      </c>
      <c r="B39" s="364">
        <f t="shared" si="22"/>
        <v>1.0964999999999999E-2</v>
      </c>
      <c r="C39" s="337">
        <f t="shared" si="0"/>
        <v>1.0000000155490494</v>
      </c>
      <c r="D39" s="338">
        <f t="shared" si="1"/>
        <v>1.7634652946657185E-4</v>
      </c>
      <c r="E39" s="338">
        <f t="shared" si="2"/>
        <v>1.0000000000002096</v>
      </c>
      <c r="F39" s="339">
        <f t="shared" si="3"/>
        <v>6.476141920562095E-7</v>
      </c>
      <c r="G39" s="338">
        <f t="shared" si="4"/>
        <v>1</v>
      </c>
      <c r="H39" s="339">
        <f t="shared" si="5"/>
        <v>0</v>
      </c>
      <c r="I39" s="337">
        <f t="shared" si="6"/>
        <v>79.375308493446127</v>
      </c>
      <c r="J39" s="340">
        <f t="shared" si="7"/>
        <v>1.5581976172711063</v>
      </c>
      <c r="K39" s="348">
        <f t="shared" si="8"/>
        <v>1.0000016615994163</v>
      </c>
      <c r="L39" s="349">
        <f t="shared" si="9"/>
        <v>1.8229630361555709E-3</v>
      </c>
      <c r="M39" s="337">
        <f t="shared" si="10"/>
        <v>1.0000000000580216</v>
      </c>
      <c r="N39" s="340">
        <f t="shared" si="11"/>
        <v>1.0772325641314816E-5</v>
      </c>
      <c r="O39" s="341">
        <f t="shared" si="12"/>
        <v>1.00000000002335</v>
      </c>
      <c r="P39" s="342">
        <f t="shared" si="13"/>
        <v>1.627287083191887E-5</v>
      </c>
      <c r="Q39" s="343">
        <f t="shared" si="14"/>
        <v>54.43514136900415</v>
      </c>
      <c r="R39" s="344">
        <f t="shared" si="15"/>
        <v>-89.185315512628833</v>
      </c>
      <c r="S39" s="346">
        <f t="shared" si="16"/>
        <v>90.814684487371167</v>
      </c>
      <c r="U39" s="319">
        <f t="shared" si="23"/>
        <v>1000000000</v>
      </c>
      <c r="V39" s="319">
        <f t="shared" si="24"/>
        <v>120.23122499999999</v>
      </c>
      <c r="X39" s="345">
        <f t="shared" si="17"/>
        <v>59.713530308663792</v>
      </c>
      <c r="Y39" s="346">
        <f t="shared" si="18"/>
        <v>-89.174316339486765</v>
      </c>
      <c r="AA39" s="345">
        <f t="shared" si="19"/>
        <v>32.939578073686612</v>
      </c>
      <c r="AB39" s="346">
        <f t="shared" si="20"/>
        <v>-1.0999173142055259E-2</v>
      </c>
      <c r="AD39">
        <f t="shared" si="25"/>
        <v>0</v>
      </c>
      <c r="AE39">
        <f t="shared" si="21"/>
        <v>0</v>
      </c>
    </row>
    <row r="40" spans="1:31" x14ac:dyDescent="0.2">
      <c r="A40" s="347">
        <v>12.023</v>
      </c>
      <c r="B40" s="364">
        <f t="shared" si="22"/>
        <v>1.2022999999999999E-2</v>
      </c>
      <c r="C40" s="337">
        <f t="shared" si="0"/>
        <v>1.0000000186944316</v>
      </c>
      <c r="D40" s="338">
        <f t="shared" si="1"/>
        <v>1.9336199902696491E-4</v>
      </c>
      <c r="E40" s="338">
        <f t="shared" si="2"/>
        <v>1.0000000000002522</v>
      </c>
      <c r="F40" s="339">
        <f t="shared" si="3"/>
        <v>7.1010172650174071E-7</v>
      </c>
      <c r="G40" s="338">
        <f t="shared" si="4"/>
        <v>1</v>
      </c>
      <c r="H40" s="339">
        <f t="shared" si="5"/>
        <v>0</v>
      </c>
      <c r="I40" s="337">
        <f t="shared" si="6"/>
        <v>87.032976864193486</v>
      </c>
      <c r="J40" s="340">
        <f t="shared" si="7"/>
        <v>1.5593061762761358</v>
      </c>
      <c r="K40" s="348">
        <f t="shared" si="8"/>
        <v>1.0000019977202881</v>
      </c>
      <c r="L40" s="349">
        <f t="shared" si="9"/>
        <v>1.9988581552597253E-3</v>
      </c>
      <c r="M40" s="337">
        <f t="shared" si="10"/>
        <v>1.0000000000697584</v>
      </c>
      <c r="N40" s="340">
        <f t="shared" si="11"/>
        <v>1.1811734718149987E-5</v>
      </c>
      <c r="O40" s="341">
        <f t="shared" si="12"/>
        <v>1.0000000000280731</v>
      </c>
      <c r="P40" s="342">
        <f t="shared" si="13"/>
        <v>1.7843021068215523E-5</v>
      </c>
      <c r="Q40" s="343">
        <f t="shared" si="14"/>
        <v>53.635176018439907</v>
      </c>
      <c r="R40" s="344">
        <f t="shared" si="15"/>
        <v>-89.239874068114233</v>
      </c>
      <c r="S40" s="346">
        <f t="shared" si="16"/>
        <v>90.760125931885767</v>
      </c>
      <c r="U40" s="319">
        <f t="shared" si="23"/>
        <v>1000000000</v>
      </c>
      <c r="V40" s="319">
        <f t="shared" si="24"/>
        <v>144.55252899999999</v>
      </c>
      <c r="X40" s="345">
        <f t="shared" si="17"/>
        <v>58.91356498546066</v>
      </c>
      <c r="Y40" s="346">
        <f t="shared" si="18"/>
        <v>-89.227813597668984</v>
      </c>
      <c r="AA40" s="345">
        <f t="shared" si="19"/>
        <v>32.939578046325515</v>
      </c>
      <c r="AB40" s="346">
        <f t="shared" si="20"/>
        <v>-1.2060470445257172E-2</v>
      </c>
      <c r="AD40">
        <f t="shared" si="25"/>
        <v>0</v>
      </c>
      <c r="AE40">
        <f t="shared" si="21"/>
        <v>0</v>
      </c>
    </row>
    <row r="41" spans="1:31" x14ac:dyDescent="0.2">
      <c r="A41" s="347">
        <v>13.183</v>
      </c>
      <c r="B41" s="364">
        <f t="shared" si="22"/>
        <v>1.3183E-2</v>
      </c>
      <c r="C41" s="337">
        <f t="shared" si="0"/>
        <v>1.0000000224757957</v>
      </c>
      <c r="D41" s="338">
        <f t="shared" si="1"/>
        <v>2.1201790125147224E-4</v>
      </c>
      <c r="E41" s="338">
        <f t="shared" si="2"/>
        <v>1.0000000000003031</v>
      </c>
      <c r="F41" s="339">
        <f t="shared" si="3"/>
        <v>7.7861357901290272E-7</v>
      </c>
      <c r="G41" s="338">
        <f t="shared" si="4"/>
        <v>1</v>
      </c>
      <c r="H41" s="339">
        <f t="shared" si="5"/>
        <v>0</v>
      </c>
      <c r="I41" s="337">
        <f t="shared" si="6"/>
        <v>95.429010400099173</v>
      </c>
      <c r="J41" s="340">
        <f t="shared" si="7"/>
        <v>1.5603171412907901</v>
      </c>
      <c r="K41" s="348">
        <f t="shared" si="8"/>
        <v>1.0000024018031075</v>
      </c>
      <c r="L41" s="349">
        <f t="shared" si="9"/>
        <v>2.1917108843182271E-3</v>
      </c>
      <c r="M41" s="337">
        <f t="shared" si="10"/>
        <v>1.0000000000838689</v>
      </c>
      <c r="N41" s="340">
        <f t="shared" si="11"/>
        <v>1.2951351475331158E-5</v>
      </c>
      <c r="O41" s="341">
        <f t="shared" si="12"/>
        <v>1.0000000000337517</v>
      </c>
      <c r="P41" s="342">
        <f t="shared" si="13"/>
        <v>1.9564546847165777E-5</v>
      </c>
      <c r="Q41" s="343">
        <f t="shared" si="14"/>
        <v>52.835247857524053</v>
      </c>
      <c r="R41" s="344">
        <f t="shared" si="15"/>
        <v>-89.287977359714034</v>
      </c>
      <c r="S41" s="346">
        <f t="shared" si="16"/>
        <v>90.712022640285966</v>
      </c>
      <c r="U41" s="319">
        <f t="shared" si="23"/>
        <v>1000000000</v>
      </c>
      <c r="V41" s="319">
        <f t="shared" si="24"/>
        <v>173.79148899999998</v>
      </c>
      <c r="X41" s="345">
        <f t="shared" si="17"/>
        <v>58.113636857438195</v>
      </c>
      <c r="Y41" s="346">
        <f t="shared" si="18"/>
        <v>-89.274753274085512</v>
      </c>
      <c r="AA41" s="345">
        <f t="shared" si="19"/>
        <v>32.939578013432119</v>
      </c>
      <c r="AB41" s="346">
        <f t="shared" si="20"/>
        <v>-1.3224085628521098E-2</v>
      </c>
      <c r="AD41">
        <f t="shared" si="25"/>
        <v>0</v>
      </c>
      <c r="AE41">
        <f t="shared" si="21"/>
        <v>0</v>
      </c>
    </row>
    <row r="42" spans="1:31" x14ac:dyDescent="0.2">
      <c r="A42" s="347">
        <v>14.454000000000001</v>
      </c>
      <c r="B42" s="364">
        <f t="shared" si="22"/>
        <v>1.4454E-2</v>
      </c>
      <c r="C42" s="337">
        <f t="shared" si="0"/>
        <v>1.0000000270185894</v>
      </c>
      <c r="D42" s="338">
        <f t="shared" si="1"/>
        <v>2.3245898015685596E-4</v>
      </c>
      <c r="E42" s="338">
        <f t="shared" si="2"/>
        <v>1.0000000000003644</v>
      </c>
      <c r="F42" s="339">
        <f t="shared" si="3"/>
        <v>8.5368130706607273E-7</v>
      </c>
      <c r="G42" s="338">
        <f t="shared" si="4"/>
        <v>1</v>
      </c>
      <c r="H42" s="339">
        <f t="shared" si="5"/>
        <v>0</v>
      </c>
      <c r="I42" s="337">
        <f t="shared" si="6"/>
        <v>104.62855063732685</v>
      </c>
      <c r="J42" s="340">
        <f t="shared" si="7"/>
        <v>1.5612385605903569</v>
      </c>
      <c r="K42" s="348">
        <f t="shared" si="8"/>
        <v>1.0000028872533475</v>
      </c>
      <c r="L42" s="349">
        <f t="shared" si="9"/>
        <v>2.4030174368182716E-3</v>
      </c>
      <c r="M42" s="337">
        <f t="shared" si="10"/>
        <v>1.0000000001008202</v>
      </c>
      <c r="N42" s="340">
        <f t="shared" si="11"/>
        <v>1.4200017766996968E-5</v>
      </c>
      <c r="O42" s="341">
        <f t="shared" si="12"/>
        <v>1.0000000000405738</v>
      </c>
      <c r="P42" s="342">
        <f t="shared" si="13"/>
        <v>2.1450804834305646E-5</v>
      </c>
      <c r="Q42" s="343">
        <f t="shared" si="14"/>
        <v>52.035856252358059</v>
      </c>
      <c r="R42" s="344">
        <f t="shared" si="15"/>
        <v>-89.33001032756367</v>
      </c>
      <c r="S42" s="346">
        <f t="shared" si="16"/>
        <v>90.66998967243633</v>
      </c>
      <c r="U42" s="319">
        <f t="shared" si="23"/>
        <v>1000000000</v>
      </c>
      <c r="V42" s="319">
        <f t="shared" si="24"/>
        <v>208.91811600000003</v>
      </c>
      <c r="X42" s="345">
        <f t="shared" si="17"/>
        <v>57.314245291789121</v>
      </c>
      <c r="Y42" s="346">
        <f t="shared" si="18"/>
        <v>-89.315511280825973</v>
      </c>
      <c r="AA42" s="345">
        <f t="shared" si="19"/>
        <v>32.939577973915192</v>
      </c>
      <c r="AB42" s="346">
        <f t="shared" si="20"/>
        <v>-1.4499046737691212E-2</v>
      </c>
      <c r="AD42">
        <f t="shared" si="25"/>
        <v>0</v>
      </c>
      <c r="AE42">
        <f t="shared" si="21"/>
        <v>0</v>
      </c>
    </row>
    <row r="43" spans="1:31" x14ac:dyDescent="0.2">
      <c r="A43" s="347">
        <v>15.849</v>
      </c>
      <c r="B43" s="364">
        <f t="shared" si="22"/>
        <v>1.5848999999999999E-2</v>
      </c>
      <c r="C43" s="337">
        <f t="shared" si="0"/>
        <v>1.0000000324855556</v>
      </c>
      <c r="D43" s="338">
        <f t="shared" si="1"/>
        <v>2.5489431043851238E-4</v>
      </c>
      <c r="E43" s="338">
        <f t="shared" si="2"/>
        <v>1.0000000000004381</v>
      </c>
      <c r="F43" s="339">
        <f t="shared" si="3"/>
        <v>9.3607271590490673E-7</v>
      </c>
      <c r="G43" s="338">
        <f t="shared" si="4"/>
        <v>1</v>
      </c>
      <c r="H43" s="339">
        <f t="shared" si="5"/>
        <v>0</v>
      </c>
      <c r="I43" s="337">
        <f t="shared" si="6"/>
        <v>114.72569204988554</v>
      </c>
      <c r="J43" s="340">
        <f t="shared" si="7"/>
        <v>1.5620797730282912</v>
      </c>
      <c r="K43" s="348">
        <f t="shared" si="8"/>
        <v>1.0000034714618489</v>
      </c>
      <c r="L43" s="349">
        <f t="shared" si="9"/>
        <v>2.6349390150097914E-3</v>
      </c>
      <c r="M43" s="337">
        <f t="shared" si="10"/>
        <v>1.0000000001212204</v>
      </c>
      <c r="N43" s="340">
        <f t="shared" si="11"/>
        <v>1.5570505160237593E-5</v>
      </c>
      <c r="O43" s="341">
        <f t="shared" si="12"/>
        <v>1.0000000000487834</v>
      </c>
      <c r="P43" s="342">
        <f t="shared" si="13"/>
        <v>2.3521087990964067E-5</v>
      </c>
      <c r="Q43" s="343">
        <f t="shared" si="14"/>
        <v>51.235651742638296</v>
      </c>
      <c r="R43" s="344">
        <f t="shared" si="15"/>
        <v>-89.366397993052317</v>
      </c>
      <c r="S43" s="346">
        <f t="shared" si="16"/>
        <v>90.633602006947683</v>
      </c>
      <c r="U43" s="319">
        <f t="shared" si="23"/>
        <v>1000000000</v>
      </c>
      <c r="V43" s="319">
        <f t="shared" si="24"/>
        <v>251.19080099999999</v>
      </c>
      <c r="X43" s="345">
        <f t="shared" si="17"/>
        <v>56.5140408296255</v>
      </c>
      <c r="Y43" s="346">
        <f t="shared" si="18"/>
        <v>-89.350499598768621</v>
      </c>
      <c r="AA43" s="345">
        <f t="shared" si="19"/>
        <v>32.939577926359064</v>
      </c>
      <c r="AB43" s="346">
        <f t="shared" si="20"/>
        <v>-1.5898394283690113E-2</v>
      </c>
      <c r="AD43">
        <f t="shared" si="25"/>
        <v>0</v>
      </c>
      <c r="AE43">
        <f t="shared" si="21"/>
        <v>0</v>
      </c>
    </row>
    <row r="44" spans="1:31" x14ac:dyDescent="0.2">
      <c r="A44" s="347">
        <v>17.378</v>
      </c>
      <c r="B44" s="364">
        <f t="shared" si="22"/>
        <v>1.7378000000000001E-2</v>
      </c>
      <c r="C44" s="337">
        <f t="shared" si="0"/>
        <v>1.0000000390558552</v>
      </c>
      <c r="D44" s="338">
        <f t="shared" si="1"/>
        <v>2.7948471874554478E-4</v>
      </c>
      <c r="E44" s="338">
        <f t="shared" si="2"/>
        <v>1.0000000000005267</v>
      </c>
      <c r="F44" s="339">
        <f t="shared" si="3"/>
        <v>1.0263784249475996E-6</v>
      </c>
      <c r="G44" s="338">
        <f t="shared" si="4"/>
        <v>1</v>
      </c>
      <c r="H44" s="339">
        <f t="shared" si="5"/>
        <v>0</v>
      </c>
      <c r="I44" s="337">
        <f t="shared" si="6"/>
        <v>125.79281565186885</v>
      </c>
      <c r="J44" s="340">
        <f t="shared" si="7"/>
        <v>1.5628466634714917</v>
      </c>
      <c r="K44" s="348">
        <f t="shared" si="8"/>
        <v>1.0000041735738179</v>
      </c>
      <c r="L44" s="349">
        <f t="shared" si="9"/>
        <v>2.8891380383482342E-3</v>
      </c>
      <c r="M44" s="337">
        <f t="shared" si="10"/>
        <v>1.0000000001457376</v>
      </c>
      <c r="N44" s="340">
        <f t="shared" si="11"/>
        <v>1.707263793742105E-5</v>
      </c>
      <c r="O44" s="341">
        <f t="shared" si="12"/>
        <v>1.00000000005865</v>
      </c>
      <c r="P44" s="342">
        <f t="shared" si="13"/>
        <v>2.5790237056632179E-5</v>
      </c>
      <c r="Q44" s="343">
        <f t="shared" si="14"/>
        <v>50.435754743281421</v>
      </c>
      <c r="R44" s="344">
        <f t="shared" si="15"/>
        <v>-89.39739287864785</v>
      </c>
      <c r="S44" s="346">
        <f t="shared" si="16"/>
        <v>90.60260712135215</v>
      </c>
      <c r="U44" s="319">
        <f t="shared" si="23"/>
        <v>1000000000</v>
      </c>
      <c r="V44" s="319">
        <f t="shared" si="24"/>
        <v>301.99488400000001</v>
      </c>
      <c r="X44" s="345">
        <f t="shared" si="17"/>
        <v>55.714143887422445</v>
      </c>
      <c r="Y44" s="346">
        <f t="shared" si="18"/>
        <v>-89.379960719221359</v>
      </c>
      <c r="AA44" s="345">
        <f t="shared" si="19"/>
        <v>32.939577869205237</v>
      </c>
      <c r="AB44" s="346">
        <f t="shared" si="20"/>
        <v>-1.7432159426493846E-2</v>
      </c>
      <c r="AD44">
        <f t="shared" si="25"/>
        <v>0</v>
      </c>
      <c r="AE44">
        <f t="shared" si="21"/>
        <v>0</v>
      </c>
    </row>
    <row r="45" spans="1:31" x14ac:dyDescent="0.2">
      <c r="A45" s="347">
        <v>19.055</v>
      </c>
      <c r="B45" s="364">
        <f t="shared" si="22"/>
        <v>1.9054999999999999E-2</v>
      </c>
      <c r="C45" s="337">
        <f t="shared" si="0"/>
        <v>1.0000000469574464</v>
      </c>
      <c r="D45" s="338">
        <f t="shared" si="1"/>
        <v>3.0645536239168184E-4</v>
      </c>
      <c r="E45" s="338">
        <f t="shared" si="2"/>
        <v>1.0000000000006333</v>
      </c>
      <c r="F45" s="339">
        <f t="shared" si="3"/>
        <v>1.125425301379625E-6</v>
      </c>
      <c r="G45" s="338">
        <f t="shared" si="4"/>
        <v>1</v>
      </c>
      <c r="H45" s="339">
        <f t="shared" si="5"/>
        <v>0</v>
      </c>
      <c r="I45" s="337">
        <f t="shared" si="6"/>
        <v>137.93125546133351</v>
      </c>
      <c r="J45" s="340">
        <f t="shared" si="7"/>
        <v>1.5635462748958464</v>
      </c>
      <c r="K45" s="348">
        <f t="shared" si="8"/>
        <v>1.0000050179489226</v>
      </c>
      <c r="L45" s="349">
        <f t="shared" si="9"/>
        <v>3.1679418995771017E-3</v>
      </c>
      <c r="M45" s="337">
        <f t="shared" si="10"/>
        <v>1.0000000001752225</v>
      </c>
      <c r="N45" s="340">
        <f t="shared" si="11"/>
        <v>1.8720170093863704E-5</v>
      </c>
      <c r="O45" s="341">
        <f t="shared" si="12"/>
        <v>1.0000000000705156</v>
      </c>
      <c r="P45" s="342">
        <f t="shared" si="13"/>
        <v>2.8279029066596662E-5</v>
      </c>
      <c r="Q45" s="343">
        <f t="shared" si="14"/>
        <v>49.635624987287514</v>
      </c>
      <c r="R45" s="344">
        <f t="shared" si="15"/>
        <v>-89.423279999032843</v>
      </c>
      <c r="S45" s="346">
        <f t="shared" si="16"/>
        <v>90.576720000967157</v>
      </c>
      <c r="U45" s="319">
        <f t="shared" si="23"/>
        <v>1000000000</v>
      </c>
      <c r="V45" s="319">
        <f t="shared" si="24"/>
        <v>363.09302500000001</v>
      </c>
      <c r="X45" s="345">
        <f t="shared" si="17"/>
        <v>54.914014200163024</v>
      </c>
      <c r="Y45" s="346">
        <f t="shared" si="18"/>
        <v>-89.404165613242483</v>
      </c>
      <c r="AA45" s="345">
        <f t="shared" si="19"/>
        <v>32.939577800470751</v>
      </c>
      <c r="AB45" s="346">
        <f t="shared" si="20"/>
        <v>-1.9114385790354391E-2</v>
      </c>
      <c r="AD45">
        <f t="shared" si="25"/>
        <v>0</v>
      </c>
      <c r="AE45">
        <f t="shared" si="21"/>
        <v>0</v>
      </c>
    </row>
    <row r="46" spans="1:31" x14ac:dyDescent="0.2">
      <c r="A46" s="347">
        <v>20.893000000000001</v>
      </c>
      <c r="B46" s="364">
        <f t="shared" si="22"/>
        <v>2.0893000000000002E-2</v>
      </c>
      <c r="C46" s="337">
        <f t="shared" si="0"/>
        <v>1.0000000564531488</v>
      </c>
      <c r="D46" s="338">
        <f t="shared" si="1"/>
        <v>3.3601531597569483E-4</v>
      </c>
      <c r="E46" s="338">
        <f t="shared" si="2"/>
        <v>1.0000000000007614</v>
      </c>
      <c r="F46" s="339">
        <f t="shared" si="3"/>
        <v>1.2339811504446338E-6</v>
      </c>
      <c r="G46" s="338">
        <f t="shared" si="4"/>
        <v>1</v>
      </c>
      <c r="H46" s="339">
        <f t="shared" si="5"/>
        <v>0</v>
      </c>
      <c r="I46" s="337">
        <f t="shared" si="6"/>
        <v>151.23510789722675</v>
      </c>
      <c r="J46" s="340">
        <f t="shared" si="7"/>
        <v>1.5641840573228196</v>
      </c>
      <c r="K46" s="348">
        <f t="shared" si="8"/>
        <v>1.0000060326720723</v>
      </c>
      <c r="L46" s="349">
        <f t="shared" si="9"/>
        <v>3.4735116942110835E-3</v>
      </c>
      <c r="M46" s="337">
        <f t="shared" si="10"/>
        <v>1.0000000002106557</v>
      </c>
      <c r="N46" s="340">
        <f t="shared" si="11"/>
        <v>2.0525873196633703E-5</v>
      </c>
      <c r="O46" s="341">
        <f t="shared" si="12"/>
        <v>1.0000000000847753</v>
      </c>
      <c r="P46" s="342">
        <f t="shared" si="13"/>
        <v>3.1006756982204331E-5</v>
      </c>
      <c r="Q46" s="343">
        <f t="shared" si="14"/>
        <v>48.835835092193051</v>
      </c>
      <c r="R46" s="344">
        <f t="shared" si="15"/>
        <v>-89.444261568045832</v>
      </c>
      <c r="S46" s="346">
        <f t="shared" si="16"/>
        <v>90.555738431954168</v>
      </c>
      <c r="U46" s="319">
        <f t="shared" si="23"/>
        <v>1000000000</v>
      </c>
      <c r="V46" s="319">
        <f t="shared" si="24"/>
        <v>436.51744900000006</v>
      </c>
      <c r="X46" s="345">
        <f t="shared" si="17"/>
        <v>54.114224387669914</v>
      </c>
      <c r="Y46" s="346">
        <f t="shared" si="18"/>
        <v>-89.423303454165165</v>
      </c>
      <c r="AA46" s="345">
        <f t="shared" si="19"/>
        <v>32.939577717869383</v>
      </c>
      <c r="AB46" s="346">
        <f t="shared" si="20"/>
        <v>-2.0958113880659164E-2</v>
      </c>
      <c r="AD46">
        <f t="shared" si="25"/>
        <v>0</v>
      </c>
      <c r="AE46">
        <f t="shared" si="21"/>
        <v>0</v>
      </c>
    </row>
    <row r="47" spans="1:31" x14ac:dyDescent="0.2">
      <c r="A47" s="347">
        <v>22.909000000000002</v>
      </c>
      <c r="B47" s="364">
        <f t="shared" si="22"/>
        <v>2.2909000000000002E-2</v>
      </c>
      <c r="C47" s="337">
        <f t="shared" si="0"/>
        <v>1.0000000678732781</v>
      </c>
      <c r="D47" s="338">
        <f t="shared" si="1"/>
        <v>3.6843798473559607E-4</v>
      </c>
      <c r="E47" s="338">
        <f t="shared" si="2"/>
        <v>1.0000000000009153</v>
      </c>
      <c r="F47" s="339">
        <f t="shared" si="3"/>
        <v>1.3530500251535547E-6</v>
      </c>
      <c r="G47" s="338">
        <f t="shared" si="4"/>
        <v>1</v>
      </c>
      <c r="H47" s="339">
        <f t="shared" si="5"/>
        <v>0</v>
      </c>
      <c r="I47" s="337">
        <f t="shared" si="6"/>
        <v>165.82742272956577</v>
      </c>
      <c r="J47" s="340">
        <f t="shared" si="7"/>
        <v>1.5647659245578971</v>
      </c>
      <c r="K47" s="348">
        <f t="shared" si="8"/>
        <v>1.0000072530406123</v>
      </c>
      <c r="L47" s="349">
        <f t="shared" si="9"/>
        <v>3.8086734630131242E-3</v>
      </c>
      <c r="M47" s="337">
        <f t="shared" si="10"/>
        <v>1.0000000002532701</v>
      </c>
      <c r="N47" s="340">
        <f t="shared" si="11"/>
        <v>2.2506448525741759E-5</v>
      </c>
      <c r="O47" s="341">
        <f t="shared" si="12"/>
        <v>1.0000000001019247</v>
      </c>
      <c r="P47" s="342">
        <f t="shared" si="13"/>
        <v>3.3998650060602233E-5</v>
      </c>
      <c r="Q47" s="343">
        <f t="shared" si="14"/>
        <v>48.035770981786435</v>
      </c>
      <c r="R47" s="344">
        <f t="shared" si="15"/>
        <v>-89.460532511454815</v>
      </c>
      <c r="S47" s="346">
        <f t="shared" si="16"/>
        <v>90.539467488545185</v>
      </c>
      <c r="U47" s="319">
        <f t="shared" si="23"/>
        <v>1000000000</v>
      </c>
      <c r="V47" s="319">
        <f t="shared" si="24"/>
        <v>524.82228100000009</v>
      </c>
      <c r="X47" s="345">
        <f t="shared" si="17"/>
        <v>53.314160376604903</v>
      </c>
      <c r="Y47" s="346">
        <f t="shared" si="18"/>
        <v>-89.437552114789199</v>
      </c>
      <c r="AA47" s="345">
        <f t="shared" si="19"/>
        <v>32.939577618527792</v>
      </c>
      <c r="AB47" s="346">
        <f t="shared" si="20"/>
        <v>-2.298039666561737E-2</v>
      </c>
      <c r="AD47">
        <f t="shared" si="25"/>
        <v>0</v>
      </c>
      <c r="AE47">
        <f t="shared" si="21"/>
        <v>0</v>
      </c>
    </row>
    <row r="48" spans="1:31" x14ac:dyDescent="0.2">
      <c r="A48" s="347">
        <v>25.119</v>
      </c>
      <c r="B48" s="364">
        <f t="shared" si="22"/>
        <v>2.5118999999999999E-2</v>
      </c>
      <c r="C48" s="337">
        <f t="shared" si="0"/>
        <v>1.000000081600205</v>
      </c>
      <c r="D48" s="338">
        <f t="shared" si="1"/>
        <v>4.0398069116417956E-4</v>
      </c>
      <c r="E48" s="338">
        <f t="shared" si="2"/>
        <v>1.0000000000011005</v>
      </c>
      <c r="F48" s="339">
        <f t="shared" si="3"/>
        <v>1.4835769165754917E-6</v>
      </c>
      <c r="G48" s="338">
        <f t="shared" si="4"/>
        <v>1</v>
      </c>
      <c r="H48" s="339">
        <f t="shared" si="5"/>
        <v>0</v>
      </c>
      <c r="I48" s="337">
        <f t="shared" si="6"/>
        <v>181.82401199021592</v>
      </c>
      <c r="J48" s="340">
        <f t="shared" si="7"/>
        <v>1.5652964754250689</v>
      </c>
      <c r="K48" s="348">
        <f t="shared" si="8"/>
        <v>1.000008719914329</v>
      </c>
      <c r="L48" s="349">
        <f t="shared" si="9"/>
        <v>4.1760869160918203E-3</v>
      </c>
      <c r="M48" s="337">
        <f t="shared" si="10"/>
        <v>1.0000000003044924</v>
      </c>
      <c r="N48" s="340">
        <f t="shared" si="11"/>
        <v>2.4677614932943468E-5</v>
      </c>
      <c r="O48" s="341">
        <f t="shared" si="12"/>
        <v>1.0000000001225384</v>
      </c>
      <c r="P48" s="342">
        <f t="shared" si="13"/>
        <v>3.7278453485003161E-5</v>
      </c>
      <c r="Q48" s="343">
        <f t="shared" si="14"/>
        <v>47.235885896722849</v>
      </c>
      <c r="R48" s="344">
        <f t="shared" si="15"/>
        <v>-89.472220882772817</v>
      </c>
      <c r="S48" s="346">
        <f t="shared" si="16"/>
        <v>90.527779117227183</v>
      </c>
      <c r="U48" s="319">
        <f t="shared" si="23"/>
        <v>1000000000</v>
      </c>
      <c r="V48" s="319">
        <f t="shared" si="24"/>
        <v>630.96416099999999</v>
      </c>
      <c r="X48" s="345">
        <f t="shared" si="17"/>
        <v>52.514275410949331</v>
      </c>
      <c r="Y48" s="346">
        <f t="shared" si="18"/>
        <v>-89.447023598779978</v>
      </c>
      <c r="AA48" s="345">
        <f t="shared" si="19"/>
        <v>32.939577499119785</v>
      </c>
      <c r="AB48" s="346">
        <f t="shared" si="20"/>
        <v>-2.5197283992840158E-2</v>
      </c>
      <c r="AD48">
        <f t="shared" si="25"/>
        <v>0</v>
      </c>
      <c r="AE48">
        <f t="shared" si="21"/>
        <v>0</v>
      </c>
    </row>
    <row r="49" spans="1:31" x14ac:dyDescent="0.2">
      <c r="A49" s="347">
        <v>27.542000000000002</v>
      </c>
      <c r="B49" s="364">
        <f t="shared" si="22"/>
        <v>2.7542000000000001E-2</v>
      </c>
      <c r="C49" s="337">
        <f t="shared" si="0"/>
        <v>1.0000000981019188</v>
      </c>
      <c r="D49" s="338">
        <f t="shared" si="1"/>
        <v>4.4294900567858324E-4</v>
      </c>
      <c r="E49" s="338">
        <f t="shared" si="2"/>
        <v>1.0000000000013229</v>
      </c>
      <c r="F49" s="339">
        <f t="shared" si="3"/>
        <v>1.6266840016050053E-6</v>
      </c>
      <c r="G49" s="338">
        <f t="shared" si="4"/>
        <v>1</v>
      </c>
      <c r="H49" s="339">
        <f t="shared" si="5"/>
        <v>0</v>
      </c>
      <c r="I49" s="337">
        <f t="shared" si="6"/>
        <v>199.36240289519705</v>
      </c>
      <c r="J49" s="340">
        <f t="shared" si="7"/>
        <v>1.5657803148544007</v>
      </c>
      <c r="K49" s="348">
        <f t="shared" si="8"/>
        <v>1.0000104833018613</v>
      </c>
      <c r="L49" s="349">
        <f t="shared" si="9"/>
        <v>4.5789104116437532E-3</v>
      </c>
      <c r="M49" s="337">
        <f t="shared" si="10"/>
        <v>1.0000000003660687</v>
      </c>
      <c r="N49" s="340">
        <f t="shared" si="11"/>
        <v>2.70580385546888E-5</v>
      </c>
      <c r="O49" s="341">
        <f t="shared" si="12"/>
        <v>1.000000000147319</v>
      </c>
      <c r="P49" s="342">
        <f t="shared" si="13"/>
        <v>4.0874364660480294E-5</v>
      </c>
      <c r="Q49" s="343">
        <f t="shared" si="14"/>
        <v>46.436060605628874</v>
      </c>
      <c r="R49" s="344">
        <f t="shared" si="15"/>
        <v>-89.479429693145221</v>
      </c>
      <c r="S49" s="346">
        <f t="shared" si="16"/>
        <v>90.520570306854779</v>
      </c>
      <c r="U49" s="319">
        <f t="shared" si="23"/>
        <v>1000000000</v>
      </c>
      <c r="V49" s="319">
        <f t="shared" si="24"/>
        <v>758.56176400000004</v>
      </c>
      <c r="X49" s="345">
        <f t="shared" si="17"/>
        <v>51.714450263400721</v>
      </c>
      <c r="Y49" s="346">
        <f t="shared" si="18"/>
        <v>-89.451801858091329</v>
      </c>
      <c r="AA49" s="345">
        <f t="shared" si="19"/>
        <v>32.939577355574428</v>
      </c>
      <c r="AB49" s="346">
        <f t="shared" si="20"/>
        <v>-2.7627835053899343E-2</v>
      </c>
      <c r="AD49">
        <f t="shared" si="25"/>
        <v>0</v>
      </c>
      <c r="AE49">
        <f t="shared" si="21"/>
        <v>0</v>
      </c>
    </row>
    <row r="50" spans="1:31" x14ac:dyDescent="0.2">
      <c r="A50" s="347">
        <v>30.2</v>
      </c>
      <c r="B50" s="364">
        <f t="shared" si="22"/>
        <v>3.0199999999999998E-2</v>
      </c>
      <c r="C50" s="337">
        <f t="shared" si="0"/>
        <v>1.0000001179506763</v>
      </c>
      <c r="D50" s="338">
        <f t="shared" si="1"/>
        <v>4.856967465863486E-4</v>
      </c>
      <c r="E50" s="338">
        <f t="shared" si="2"/>
        <v>1.0000000000015907</v>
      </c>
      <c r="F50" s="339">
        <f t="shared" si="3"/>
        <v>1.7836706429621085E-6</v>
      </c>
      <c r="G50" s="338">
        <f t="shared" si="4"/>
        <v>1</v>
      </c>
      <c r="H50" s="339">
        <f t="shared" si="5"/>
        <v>0</v>
      </c>
      <c r="I50" s="337">
        <f t="shared" si="6"/>
        <v>218.60183797967082</v>
      </c>
      <c r="J50" s="340">
        <f t="shared" si="7"/>
        <v>1.5662217838862411</v>
      </c>
      <c r="K50" s="348">
        <f t="shared" si="8"/>
        <v>1.0000126043533215</v>
      </c>
      <c r="L50" s="349">
        <f t="shared" si="9"/>
        <v>5.0208009184661718E-3</v>
      </c>
      <c r="M50" s="337">
        <f t="shared" si="10"/>
        <v>1.0000000004401346</v>
      </c>
      <c r="N50" s="340">
        <f t="shared" si="11"/>
        <v>2.9669332812114331E-5</v>
      </c>
      <c r="O50" s="341">
        <f t="shared" si="12"/>
        <v>1.0000000001771259</v>
      </c>
      <c r="P50" s="342">
        <f t="shared" si="13"/>
        <v>4.4819033213973434E-5</v>
      </c>
      <c r="Q50" s="343">
        <f t="shared" si="14"/>
        <v>45.635867863142721</v>
      </c>
      <c r="R50" s="344">
        <f t="shared" si="15"/>
        <v>-89.482221443876227</v>
      </c>
      <c r="S50" s="346">
        <f t="shared" si="16"/>
        <v>90.517778556123773</v>
      </c>
      <c r="U50" s="319">
        <f t="shared" si="23"/>
        <v>1000000000</v>
      </c>
      <c r="V50" s="319">
        <f t="shared" si="24"/>
        <v>912.04</v>
      </c>
      <c r="X50" s="345">
        <f t="shared" si="17"/>
        <v>50.914257693575237</v>
      </c>
      <c r="Y50" s="346">
        <f t="shared" si="18"/>
        <v>-89.451927325493841</v>
      </c>
      <c r="AA50" s="345">
        <f t="shared" si="19"/>
        <v>32.939577182913752</v>
      </c>
      <c r="AB50" s="346">
        <f t="shared" si="20"/>
        <v>-3.0294118382383148E-2</v>
      </c>
      <c r="AD50">
        <f t="shared" si="25"/>
        <v>0</v>
      </c>
      <c r="AE50">
        <f t="shared" si="21"/>
        <v>0</v>
      </c>
    </row>
    <row r="51" spans="1:31" x14ac:dyDescent="0.2">
      <c r="A51" s="347">
        <v>33.113</v>
      </c>
      <c r="B51" s="364">
        <f t="shared" si="22"/>
        <v>3.3112999999999997E-2</v>
      </c>
      <c r="C51" s="337">
        <f t="shared" si="0"/>
        <v>1.0000001418024071</v>
      </c>
      <c r="D51" s="338">
        <f t="shared" si="1"/>
        <v>5.325455666879967E-4</v>
      </c>
      <c r="E51" s="338">
        <f t="shared" si="2"/>
        <v>1.0000000000019125</v>
      </c>
      <c r="F51" s="339">
        <f t="shared" si="3"/>
        <v>1.9557180794831669E-6</v>
      </c>
      <c r="G51" s="338">
        <f t="shared" si="4"/>
        <v>1</v>
      </c>
      <c r="H51" s="339">
        <f t="shared" si="5"/>
        <v>0</v>
      </c>
      <c r="I51" s="337">
        <f t="shared" si="6"/>
        <v>239.68708349499786</v>
      </c>
      <c r="J51" s="340">
        <f t="shared" si="7"/>
        <v>1.5666242083539705</v>
      </c>
      <c r="K51" s="348">
        <f t="shared" si="8"/>
        <v>1.0000151531592547</v>
      </c>
      <c r="L51" s="349">
        <f t="shared" si="9"/>
        <v>5.5050827257352164E-3</v>
      </c>
      <c r="M51" s="337">
        <f t="shared" si="10"/>
        <v>1.0000000005291376</v>
      </c>
      <c r="N51" s="340">
        <f t="shared" si="11"/>
        <v>3.2531146269842664E-5</v>
      </c>
      <c r="O51" s="341">
        <f t="shared" si="12"/>
        <v>1.0000000002129437</v>
      </c>
      <c r="P51" s="342">
        <f t="shared" si="13"/>
        <v>4.9142140624556919E-5</v>
      </c>
      <c r="Q51" s="343">
        <f t="shared" si="14"/>
        <v>44.836073356694904</v>
      </c>
      <c r="R51" s="344">
        <f t="shared" si="15"/>
        <v>-89.480617411513506</v>
      </c>
      <c r="S51" s="346">
        <f t="shared" si="16"/>
        <v>90.519382588486494</v>
      </c>
      <c r="U51" s="319">
        <f t="shared" si="23"/>
        <v>1000000000</v>
      </c>
      <c r="V51" s="319">
        <f t="shared" si="24"/>
        <v>1096.470769</v>
      </c>
      <c r="X51" s="345">
        <f t="shared" si="17"/>
        <v>50.114463394609203</v>
      </c>
      <c r="Y51" s="346">
        <f t="shared" si="18"/>
        <v>-89.447401215243772</v>
      </c>
      <c r="AA51" s="345">
        <f t="shared" si="19"/>
        <v>32.939576975431962</v>
      </c>
      <c r="AB51" s="346">
        <f t="shared" si="20"/>
        <v>-3.3216196269733655E-2</v>
      </c>
      <c r="AD51">
        <f t="shared" si="25"/>
        <v>0</v>
      </c>
      <c r="AE51">
        <f t="shared" si="21"/>
        <v>0</v>
      </c>
    </row>
    <row r="52" spans="1:31" x14ac:dyDescent="0.2">
      <c r="A52" s="347">
        <v>36.308</v>
      </c>
      <c r="B52" s="364">
        <f t="shared" si="22"/>
        <v>3.6308E-2</v>
      </c>
      <c r="C52" s="337">
        <f t="shared" si="0"/>
        <v>1.0000001704869699</v>
      </c>
      <c r="D52" s="338">
        <f t="shared" si="1"/>
        <v>5.839296972654579E-4</v>
      </c>
      <c r="E52" s="338">
        <f t="shared" si="2"/>
        <v>1.0000000000022993</v>
      </c>
      <c r="F52" s="339">
        <f t="shared" si="3"/>
        <v>2.1444209835972732E-6</v>
      </c>
      <c r="G52" s="338">
        <f t="shared" si="4"/>
        <v>1</v>
      </c>
      <c r="H52" s="339">
        <f t="shared" si="5"/>
        <v>0</v>
      </c>
      <c r="I52" s="337">
        <f t="shared" si="6"/>
        <v>262.81357425008071</v>
      </c>
      <c r="J52" s="340">
        <f t="shared" si="7"/>
        <v>1.5669913391117221</v>
      </c>
      <c r="K52" s="348">
        <f t="shared" si="8"/>
        <v>1.0000182183951387</v>
      </c>
      <c r="L52" s="349">
        <f t="shared" si="9"/>
        <v>6.0362436252072143E-3</v>
      </c>
      <c r="M52" s="337">
        <f t="shared" si="10"/>
        <v>1.0000000006361744</v>
      </c>
      <c r="N52" s="340">
        <f t="shared" si="11"/>
        <v>3.5670004490114568E-5</v>
      </c>
      <c r="O52" s="341">
        <f t="shared" si="12"/>
        <v>1.0000000002560192</v>
      </c>
      <c r="P52" s="342">
        <f t="shared" si="13"/>
        <v>5.3883756888980946E-5</v>
      </c>
      <c r="Q52" s="343">
        <f t="shared" si="14"/>
        <v>44.036036496003391</v>
      </c>
      <c r="R52" s="344">
        <f t="shared" si="15"/>
        <v>-89.474603976537708</v>
      </c>
      <c r="S52" s="346">
        <f t="shared" si="16"/>
        <v>90.525396023462292</v>
      </c>
      <c r="U52" s="319">
        <f t="shared" si="23"/>
        <v>1000000000</v>
      </c>
      <c r="V52" s="319">
        <f t="shared" si="24"/>
        <v>1318.2708640000001</v>
      </c>
      <c r="X52" s="345">
        <f t="shared" si="17"/>
        <v>49.31442678343938</v>
      </c>
      <c r="Y52" s="346">
        <f t="shared" si="18"/>
        <v>-89.438182823728226</v>
      </c>
      <c r="AA52" s="345">
        <f t="shared" si="19"/>
        <v>32.939576725910264</v>
      </c>
      <c r="AB52" s="346">
        <f t="shared" si="20"/>
        <v>-3.6421152809467984E-2</v>
      </c>
      <c r="AD52">
        <f t="shared" si="25"/>
        <v>0</v>
      </c>
      <c r="AE52">
        <f t="shared" si="21"/>
        <v>0</v>
      </c>
    </row>
    <row r="53" spans="1:31" x14ac:dyDescent="0.2">
      <c r="A53" s="347">
        <v>39.811</v>
      </c>
      <c r="B53" s="364">
        <f t="shared" si="22"/>
        <v>3.9810999999999999E-2</v>
      </c>
      <c r="C53" s="337">
        <f t="shared" si="0"/>
        <v>1.0000002049711341</v>
      </c>
      <c r="D53" s="338">
        <f t="shared" si="1"/>
        <v>6.4026728664216327E-4</v>
      </c>
      <c r="E53" s="338">
        <f t="shared" si="2"/>
        <v>1.0000000000027645</v>
      </c>
      <c r="F53" s="339">
        <f t="shared" si="3"/>
        <v>2.3513149657916868E-6</v>
      </c>
      <c r="G53" s="338">
        <f t="shared" si="4"/>
        <v>1</v>
      </c>
      <c r="H53" s="339">
        <f t="shared" si="5"/>
        <v>0</v>
      </c>
      <c r="I53" s="337">
        <f t="shared" si="6"/>
        <v>288.16950705160997</v>
      </c>
      <c r="J53" s="340">
        <f t="shared" si="7"/>
        <v>1.5673261400382652</v>
      </c>
      <c r="K53" s="348">
        <f t="shared" si="8"/>
        <v>1.0000219033648203</v>
      </c>
      <c r="L53" s="349">
        <f t="shared" si="9"/>
        <v>6.6186048424187374E-3</v>
      </c>
      <c r="M53" s="337">
        <f t="shared" si="10"/>
        <v>1.0000000007648526</v>
      </c>
      <c r="N53" s="340">
        <f t="shared" si="11"/>
        <v>3.9111450606867092E-5</v>
      </c>
      <c r="O53" s="341">
        <f t="shared" si="12"/>
        <v>1.0000000003078036</v>
      </c>
      <c r="P53" s="342">
        <f t="shared" si="13"/>
        <v>5.9082467930100864E-5</v>
      </c>
      <c r="Q53" s="343">
        <f t="shared" si="14"/>
        <v>43.236063582734864</v>
      </c>
      <c r="R53" s="344">
        <f t="shared" si="15"/>
        <v>-89.464130913182117</v>
      </c>
      <c r="S53" s="346">
        <f t="shared" si="16"/>
        <v>90.535869086817883</v>
      </c>
      <c r="U53" s="319">
        <f t="shared" si="23"/>
        <v>1000000000</v>
      </c>
      <c r="V53" s="319">
        <f t="shared" si="24"/>
        <v>1584.9157210000001</v>
      </c>
      <c r="X53" s="345">
        <f t="shared" si="17"/>
        <v>48.514454170142194</v>
      </c>
      <c r="Y53" s="346">
        <f t="shared" si="18"/>
        <v>-89.424195844219824</v>
      </c>
      <c r="AA53" s="345">
        <f t="shared" si="19"/>
        <v>32.939576425938924</v>
      </c>
      <c r="AB53" s="346">
        <f t="shared" si="20"/>
        <v>-3.9935068962287337E-2</v>
      </c>
      <c r="AD53">
        <f t="shared" si="25"/>
        <v>0</v>
      </c>
      <c r="AE53">
        <f t="shared" si="21"/>
        <v>0</v>
      </c>
    </row>
    <row r="54" spans="1:31" x14ac:dyDescent="0.2">
      <c r="A54" s="347">
        <v>43.652000000000001</v>
      </c>
      <c r="B54" s="364">
        <f t="shared" si="22"/>
        <v>4.3652000000000003E-2</v>
      </c>
      <c r="C54" s="337">
        <f t="shared" si="0"/>
        <v>1.0000002464307025</v>
      </c>
      <c r="D54" s="338">
        <f t="shared" si="1"/>
        <v>7.0204081344359549E-4</v>
      </c>
      <c r="E54" s="338">
        <f t="shared" si="2"/>
        <v>1.0000000000033236</v>
      </c>
      <c r="F54" s="339">
        <f t="shared" si="3"/>
        <v>2.5781718843209279E-6</v>
      </c>
      <c r="G54" s="338">
        <f t="shared" si="4"/>
        <v>1</v>
      </c>
      <c r="H54" s="339">
        <f t="shared" si="5"/>
        <v>0</v>
      </c>
      <c r="I54" s="337">
        <f t="shared" si="6"/>
        <v>315.97203233444787</v>
      </c>
      <c r="J54" s="340">
        <f t="shared" si="7"/>
        <v>1.5676314844448158</v>
      </c>
      <c r="K54" s="348">
        <f t="shared" si="8"/>
        <v>1.0000263337067248</v>
      </c>
      <c r="L54" s="349">
        <f t="shared" si="9"/>
        <v>7.2571521757419082E-3</v>
      </c>
      <c r="M54" s="337">
        <f t="shared" si="10"/>
        <v>1.0000000009195598</v>
      </c>
      <c r="N54" s="340">
        <f t="shared" si="11"/>
        <v>4.2884957466903015E-5</v>
      </c>
      <c r="O54" s="341">
        <f t="shared" si="12"/>
        <v>1.0000000003700633</v>
      </c>
      <c r="P54" s="342">
        <f t="shared" si="13"/>
        <v>6.4782795966634676E-5</v>
      </c>
      <c r="Q54" s="343">
        <f t="shared" si="14"/>
        <v>42.436089301912375</v>
      </c>
      <c r="R54" s="344">
        <f t="shared" si="15"/>
        <v>-89.449108966922225</v>
      </c>
      <c r="S54" s="346">
        <f t="shared" si="16"/>
        <v>90.550891033077775</v>
      </c>
      <c r="U54" s="319">
        <f t="shared" si="23"/>
        <v>1000000000</v>
      </c>
      <c r="V54" s="319">
        <f t="shared" si="24"/>
        <v>1905.497104</v>
      </c>
      <c r="X54" s="345">
        <f t="shared" si="17"/>
        <v>47.714480249968794</v>
      </c>
      <c r="Y54" s="346">
        <f t="shared" si="18"/>
        <v>-89.405320928789834</v>
      </c>
      <c r="AA54" s="345">
        <f t="shared" si="19"/>
        <v>32.939576065289849</v>
      </c>
      <c r="AB54" s="346">
        <f t="shared" si="20"/>
        <v>-4.3788038132398753E-2</v>
      </c>
      <c r="AD54">
        <f t="shared" si="25"/>
        <v>0</v>
      </c>
      <c r="AE54">
        <f t="shared" si="21"/>
        <v>0</v>
      </c>
    </row>
    <row r="55" spans="1:31" x14ac:dyDescent="0.2">
      <c r="A55" s="347">
        <v>47.863</v>
      </c>
      <c r="B55" s="364">
        <f t="shared" si="22"/>
        <v>4.7863000000000003E-2</v>
      </c>
      <c r="C55" s="337">
        <f t="shared" si="0"/>
        <v>1.0000002962690899</v>
      </c>
      <c r="D55" s="338">
        <f t="shared" si="1"/>
        <v>7.6976492113561921E-4</v>
      </c>
      <c r="E55" s="338">
        <f t="shared" si="2"/>
        <v>1.0000000000039955</v>
      </c>
      <c r="F55" s="339">
        <f t="shared" si="3"/>
        <v>2.82688172132313E-6</v>
      </c>
      <c r="G55" s="338">
        <f t="shared" si="4"/>
        <v>1</v>
      </c>
      <c r="H55" s="339">
        <f t="shared" si="5"/>
        <v>0</v>
      </c>
      <c r="I55" s="337">
        <f t="shared" si="6"/>
        <v>346.45277748446051</v>
      </c>
      <c r="J55" s="340">
        <f t="shared" si="7"/>
        <v>1.5679099265304413</v>
      </c>
      <c r="K55" s="348">
        <f t="shared" si="8"/>
        <v>1.0000316593779519</v>
      </c>
      <c r="L55" s="349">
        <f t="shared" si="9"/>
        <v>7.957203366885806E-3</v>
      </c>
      <c r="M55" s="337">
        <f t="shared" si="10"/>
        <v>1.0000000011055323</v>
      </c>
      <c r="N55" s="340">
        <f t="shared" si="11"/>
        <v>4.7021962773387092E-5</v>
      </c>
      <c r="O55" s="341">
        <f t="shared" si="12"/>
        <v>1.0000000004449052</v>
      </c>
      <c r="P55" s="342">
        <f t="shared" si="13"/>
        <v>7.103223136528913E-5</v>
      </c>
      <c r="Q55" s="343">
        <f t="shared" si="14"/>
        <v>41.636227047189884</v>
      </c>
      <c r="R55" s="344">
        <f t="shared" si="15"/>
        <v>-89.429413699283856</v>
      </c>
      <c r="S55" s="346">
        <f t="shared" si="16"/>
        <v>90.570586300716144</v>
      </c>
      <c r="U55" s="319">
        <f t="shared" si="23"/>
        <v>1000000000</v>
      </c>
      <c r="V55" s="319">
        <f t="shared" si="24"/>
        <v>2290.8667689999997</v>
      </c>
      <c r="X55" s="345">
        <f t="shared" si="17"/>
        <v>46.914618428781139</v>
      </c>
      <c r="Y55" s="346">
        <f t="shared" si="18"/>
        <v>-89.381401539355892</v>
      </c>
      <c r="AA55" s="345">
        <f t="shared" si="19"/>
        <v>32.939575631754998</v>
      </c>
      <c r="AB55" s="346">
        <f t="shared" si="20"/>
        <v>-4.801215992796689E-2</v>
      </c>
      <c r="AD55">
        <f t="shared" si="25"/>
        <v>0</v>
      </c>
      <c r="AE55">
        <f t="shared" si="21"/>
        <v>0</v>
      </c>
    </row>
    <row r="56" spans="1:31" x14ac:dyDescent="0.2">
      <c r="A56" s="347">
        <v>52.481000000000002</v>
      </c>
      <c r="B56" s="364">
        <f t="shared" si="22"/>
        <v>5.2481E-2</v>
      </c>
      <c r="C56" s="337">
        <f t="shared" si="0"/>
        <v>1.0000003561973643</v>
      </c>
      <c r="D56" s="338">
        <f t="shared" si="1"/>
        <v>8.4403466586150592E-4</v>
      </c>
      <c r="E56" s="338">
        <f t="shared" si="2"/>
        <v>1.0000000000048037</v>
      </c>
      <c r="F56" s="339">
        <f t="shared" si="3"/>
        <v>3.0996297686454937E-6</v>
      </c>
      <c r="G56" s="338">
        <f t="shared" si="4"/>
        <v>1</v>
      </c>
      <c r="H56" s="339">
        <f t="shared" si="5"/>
        <v>0</v>
      </c>
      <c r="I56" s="337">
        <f t="shared" si="6"/>
        <v>379.87956192112</v>
      </c>
      <c r="J56" s="340">
        <f t="shared" si="7"/>
        <v>1.5681639104841067</v>
      </c>
      <c r="K56" s="348">
        <f t="shared" si="8"/>
        <v>1.0000380632053487</v>
      </c>
      <c r="L56" s="349">
        <f t="shared" si="9"/>
        <v>8.7249066525891331E-3</v>
      </c>
      <c r="M56" s="337">
        <f t="shared" si="10"/>
        <v>1.0000000013291557</v>
      </c>
      <c r="N56" s="340">
        <f t="shared" si="11"/>
        <v>5.155881637052064E-5</v>
      </c>
      <c r="O56" s="341">
        <f t="shared" si="12"/>
        <v>1.0000000005348992</v>
      </c>
      <c r="P56" s="342">
        <f t="shared" si="13"/>
        <v>7.7885684862636333E-5</v>
      </c>
      <c r="Q56" s="343">
        <f t="shared" si="14"/>
        <v>40.836244522664551</v>
      </c>
      <c r="R56" s="344">
        <f t="shared" si="15"/>
        <v>-89.404872081805976</v>
      </c>
      <c r="S56" s="346">
        <f t="shared" si="16"/>
        <v>90.595127918194024</v>
      </c>
      <c r="U56" s="319">
        <f t="shared" si="23"/>
        <v>1000000000</v>
      </c>
      <c r="V56" s="319">
        <f t="shared" si="24"/>
        <v>2754.255361</v>
      </c>
      <c r="X56" s="345">
        <f t="shared" si="17"/>
        <v>46.114636425560676</v>
      </c>
      <c r="Y56" s="346">
        <f t="shared" si="18"/>
        <v>-89.352227532305889</v>
      </c>
      <c r="AA56" s="345">
        <f t="shared" si="19"/>
        <v>32.939575110450136</v>
      </c>
      <c r="AB56" s="346">
        <f t="shared" si="20"/>
        <v>-5.2644549500072649E-2</v>
      </c>
      <c r="AD56">
        <f t="shared" si="25"/>
        <v>0</v>
      </c>
      <c r="AE56">
        <f t="shared" si="21"/>
        <v>0</v>
      </c>
    </row>
    <row r="57" spans="1:31" x14ac:dyDescent="0.2">
      <c r="A57" s="347">
        <v>57.544000000000004</v>
      </c>
      <c r="B57" s="364">
        <f t="shared" si="22"/>
        <v>5.7544000000000005E-2</v>
      </c>
      <c r="C57" s="337">
        <f t="shared" si="0"/>
        <v>1.0000004282393558</v>
      </c>
      <c r="D57" s="338">
        <f t="shared" si="1"/>
        <v>9.25461185565391E-4</v>
      </c>
      <c r="E57" s="338">
        <f t="shared" si="2"/>
        <v>1.0000000000057754</v>
      </c>
      <c r="F57" s="339">
        <f t="shared" si="3"/>
        <v>3.3986603800769949E-6</v>
      </c>
      <c r="G57" s="338">
        <f t="shared" si="4"/>
        <v>1</v>
      </c>
      <c r="H57" s="339">
        <f t="shared" si="5"/>
        <v>0</v>
      </c>
      <c r="I57" s="337">
        <f t="shared" si="6"/>
        <v>416.52744363872284</v>
      </c>
      <c r="J57" s="340">
        <f t="shared" si="7"/>
        <v>1.5683955222958976</v>
      </c>
      <c r="K57" s="348">
        <f t="shared" si="8"/>
        <v>1.0000457614289693</v>
      </c>
      <c r="L57" s="349">
        <f t="shared" si="9"/>
        <v>9.5665755573386153E-3</v>
      </c>
      <c r="M57" s="337">
        <f t="shared" si="10"/>
        <v>1.0000000015979815</v>
      </c>
      <c r="N57" s="340">
        <f t="shared" si="11"/>
        <v>5.653285053054477E-5</v>
      </c>
      <c r="O57" s="341">
        <f t="shared" si="12"/>
        <v>1.000000000643084</v>
      </c>
      <c r="P57" s="342">
        <f t="shared" si="13"/>
        <v>8.5399551269357366E-5</v>
      </c>
      <c r="Q57" s="343">
        <f t="shared" si="14"/>
        <v>40.036356908069948</v>
      </c>
      <c r="R57" s="344">
        <f t="shared" si="15"/>
        <v>-89.375282151808548</v>
      </c>
      <c r="S57" s="346">
        <f t="shared" si="16"/>
        <v>90.624717848191452</v>
      </c>
      <c r="U57" s="319">
        <f t="shared" si="23"/>
        <v>1000000000</v>
      </c>
      <c r="V57" s="319">
        <f t="shared" si="24"/>
        <v>3311.3119360000005</v>
      </c>
      <c r="X57" s="345">
        <f t="shared" si="17"/>
        <v>45.314749437645858</v>
      </c>
      <c r="Y57" s="346">
        <f t="shared" si="18"/>
        <v>-89.317558826742257</v>
      </c>
      <c r="AA57" s="345">
        <f t="shared" si="19"/>
        <v>32.93957448377035</v>
      </c>
      <c r="AB57" s="346">
        <f t="shared" si="20"/>
        <v>-5.7723325066297446E-2</v>
      </c>
      <c r="AD57">
        <f t="shared" si="25"/>
        <v>0</v>
      </c>
      <c r="AE57">
        <f t="shared" si="21"/>
        <v>0</v>
      </c>
    </row>
    <row r="58" spans="1:31" x14ac:dyDescent="0.2">
      <c r="A58" s="347">
        <v>63.095999999999997</v>
      </c>
      <c r="B58" s="364">
        <f t="shared" si="22"/>
        <v>6.3095999999999999E-2</v>
      </c>
      <c r="C58" s="337">
        <f t="shared" si="0"/>
        <v>1.0000005148611464</v>
      </c>
      <c r="D58" s="338">
        <f t="shared" si="1"/>
        <v>1.0147521130329869E-3</v>
      </c>
      <c r="E58" s="338">
        <f t="shared" si="2"/>
        <v>1.0000000000069438</v>
      </c>
      <c r="F58" s="339">
        <f t="shared" si="3"/>
        <v>3.7265722810574692E-6</v>
      </c>
      <c r="G58" s="338">
        <f t="shared" si="4"/>
        <v>1</v>
      </c>
      <c r="H58" s="339">
        <f t="shared" si="5"/>
        <v>0</v>
      </c>
      <c r="I58" s="337">
        <f t="shared" si="6"/>
        <v>456.71491104219098</v>
      </c>
      <c r="J58" s="340">
        <f t="shared" si="7"/>
        <v>1.5686067753376405</v>
      </c>
      <c r="K58" s="348">
        <f t="shared" si="8"/>
        <v>1.000055017535032</v>
      </c>
      <c r="L58" s="349">
        <f t="shared" si="9"/>
        <v>1.0489519789722864E-2</v>
      </c>
      <c r="M58" s="337">
        <f t="shared" si="10"/>
        <v>1.0000000019212121</v>
      </c>
      <c r="N58" s="340">
        <f t="shared" si="11"/>
        <v>6.1987292094859775E-5</v>
      </c>
      <c r="O58" s="341">
        <f t="shared" si="12"/>
        <v>1.0000000007731635</v>
      </c>
      <c r="P58" s="342">
        <f t="shared" si="13"/>
        <v>9.3639129840040306E-5</v>
      </c>
      <c r="Q58" s="343">
        <f t="shared" si="14"/>
        <v>39.236405146192496</v>
      </c>
      <c r="R58" s="344">
        <f t="shared" si="15"/>
        <v>-89.340387065111315</v>
      </c>
      <c r="S58" s="346">
        <f t="shared" si="16"/>
        <v>90.659612934888685</v>
      </c>
      <c r="U58" s="319">
        <f t="shared" si="23"/>
        <v>1000000000</v>
      </c>
      <c r="V58" s="319">
        <f t="shared" si="24"/>
        <v>3981.1052159999995</v>
      </c>
      <c r="X58" s="345">
        <f t="shared" si="17"/>
        <v>44.514798429275075</v>
      </c>
      <c r="Y58" s="346">
        <f t="shared" si="18"/>
        <v>-89.277094441636862</v>
      </c>
      <c r="AA58" s="345">
        <f t="shared" si="19"/>
        <v>32.939573730263689</v>
      </c>
      <c r="AB58" s="346">
        <f t="shared" si="20"/>
        <v>-6.3292623474451581E-2</v>
      </c>
      <c r="AD58">
        <f t="shared" si="25"/>
        <v>0</v>
      </c>
      <c r="AE58">
        <f t="shared" si="21"/>
        <v>0</v>
      </c>
    </row>
    <row r="59" spans="1:31" x14ac:dyDescent="0.2">
      <c r="A59" s="347">
        <v>69.183000000000007</v>
      </c>
      <c r="B59" s="364">
        <f t="shared" si="22"/>
        <v>6.9183000000000008E-2</v>
      </c>
      <c r="C59" s="337">
        <f t="shared" si="0"/>
        <v>1.000000618992265</v>
      </c>
      <c r="D59" s="338">
        <f t="shared" si="1"/>
        <v>1.1126472448709486E-3</v>
      </c>
      <c r="E59" s="338">
        <f t="shared" si="2"/>
        <v>1.000000000008348</v>
      </c>
      <c r="F59" s="339">
        <f t="shared" si="3"/>
        <v>4.0860823209103207E-6</v>
      </c>
      <c r="G59" s="338">
        <f t="shared" si="4"/>
        <v>1</v>
      </c>
      <c r="H59" s="339">
        <f t="shared" si="5"/>
        <v>0</v>
      </c>
      <c r="I59" s="337">
        <f t="shared" si="6"/>
        <v>500.77492945918351</v>
      </c>
      <c r="J59" s="340">
        <f t="shared" si="7"/>
        <v>1.5687994203888869</v>
      </c>
      <c r="K59" s="348">
        <f t="shared" si="8"/>
        <v>1.0000661445152359</v>
      </c>
      <c r="L59" s="349">
        <f t="shared" si="9"/>
        <v>1.150137987613848E-2</v>
      </c>
      <c r="M59" s="337">
        <f t="shared" si="10"/>
        <v>1.000000002309779</v>
      </c>
      <c r="N59" s="340">
        <f t="shared" si="11"/>
        <v>6.7967332760995619E-5</v>
      </c>
      <c r="O59" s="341">
        <f t="shared" si="12"/>
        <v>1.0000000009295364</v>
      </c>
      <c r="P59" s="342">
        <f t="shared" si="13"/>
        <v>1.0267268797745075E-4</v>
      </c>
      <c r="Q59" s="343">
        <f t="shared" si="14"/>
        <v>38.436553127647251</v>
      </c>
      <c r="R59" s="344">
        <f t="shared" si="15"/>
        <v>-89.299898096364146</v>
      </c>
      <c r="S59" s="346">
        <f t="shared" si="16"/>
        <v>90.700101903635854</v>
      </c>
      <c r="U59" s="319">
        <f t="shared" si="23"/>
        <v>1000000000</v>
      </c>
      <c r="V59" s="319">
        <f t="shared" si="24"/>
        <v>4786.2874890000012</v>
      </c>
      <c r="X59" s="345">
        <f t="shared" si="17"/>
        <v>43.714947316546755</v>
      </c>
      <c r="Y59" s="346">
        <f t="shared" si="18"/>
        <v>-89.230499508646247</v>
      </c>
      <c r="AA59" s="345">
        <f t="shared" si="19"/>
        <v>32.939572824446756</v>
      </c>
      <c r="AB59" s="346">
        <f t="shared" si="20"/>
        <v>-6.9398587717904164E-2</v>
      </c>
      <c r="AD59">
        <f t="shared" si="25"/>
        <v>0</v>
      </c>
      <c r="AE59">
        <f t="shared" si="21"/>
        <v>0</v>
      </c>
    </row>
    <row r="60" spans="1:31" x14ac:dyDescent="0.2">
      <c r="A60" s="347">
        <v>75.858000000000004</v>
      </c>
      <c r="B60" s="364">
        <f t="shared" si="22"/>
        <v>7.5858000000000009E-2</v>
      </c>
      <c r="C60" s="337">
        <f t="shared" si="0"/>
        <v>1.0000007441991858</v>
      </c>
      <c r="D60" s="338">
        <f t="shared" si="1"/>
        <v>1.2199989543122082E-3</v>
      </c>
      <c r="E60" s="338">
        <f t="shared" si="2"/>
        <v>1.0000000000100366</v>
      </c>
      <c r="F60" s="339">
        <f t="shared" si="3"/>
        <v>4.4803207825515823E-6</v>
      </c>
      <c r="G60" s="338">
        <f t="shared" si="4"/>
        <v>1</v>
      </c>
      <c r="H60" s="339">
        <f t="shared" si="5"/>
        <v>0</v>
      </c>
      <c r="I60" s="337">
        <f t="shared" si="6"/>
        <v>549.09113302426817</v>
      </c>
      <c r="J60" s="340">
        <f t="shared" si="7"/>
        <v>1.5689751344779079</v>
      </c>
      <c r="K60" s="348">
        <f t="shared" si="8"/>
        <v>1.0000795233979018</v>
      </c>
      <c r="L60" s="349">
        <f t="shared" si="9"/>
        <v>1.2610957797392188E-2</v>
      </c>
      <c r="M60" s="337">
        <f t="shared" si="10"/>
        <v>1.0000000027769909</v>
      </c>
      <c r="N60" s="340">
        <f t="shared" si="11"/>
        <v>7.4525041223677557E-5</v>
      </c>
      <c r="O60" s="341">
        <f t="shared" si="12"/>
        <v>1.0000000011175589</v>
      </c>
      <c r="P60" s="342">
        <f t="shared" si="13"/>
        <v>1.1257888160237322E-4</v>
      </c>
      <c r="Q60" s="343">
        <f t="shared" si="14"/>
        <v>37.636631190867448</v>
      </c>
      <c r="R60" s="344">
        <f t="shared" si="15"/>
        <v>-89.253463163862719</v>
      </c>
      <c r="S60" s="346">
        <f t="shared" si="16"/>
        <v>90.746536836137281</v>
      </c>
      <c r="U60" s="319">
        <f t="shared" si="23"/>
        <v>1000000000</v>
      </c>
      <c r="V60" s="319">
        <f t="shared" si="24"/>
        <v>5754.4361640000006</v>
      </c>
      <c r="X60" s="345">
        <f t="shared" si="17"/>
        <v>42.915026468918185</v>
      </c>
      <c r="Y60" s="346">
        <f t="shared" si="18"/>
        <v>-89.17736878137687</v>
      </c>
      <c r="AA60" s="345">
        <f t="shared" si="19"/>
        <v>32.939571735295523</v>
      </c>
      <c r="AB60" s="346">
        <f t="shared" si="20"/>
        <v>-7.6094382485827797E-2</v>
      </c>
      <c r="AD60">
        <f t="shared" si="25"/>
        <v>0</v>
      </c>
      <c r="AE60">
        <f t="shared" si="21"/>
        <v>0</v>
      </c>
    </row>
    <row r="61" spans="1:31" x14ac:dyDescent="0.2">
      <c r="A61" s="347">
        <v>83.176000000000002</v>
      </c>
      <c r="B61" s="364">
        <f t="shared" si="22"/>
        <v>8.3176E-2</v>
      </c>
      <c r="C61" s="337">
        <f t="shared" si="0"/>
        <v>1.0000008947103125</v>
      </c>
      <c r="D61" s="338">
        <f t="shared" si="1"/>
        <v>1.3376917772922822E-3</v>
      </c>
      <c r="E61" s="338">
        <f t="shared" si="2"/>
        <v>1.0000000000120663</v>
      </c>
      <c r="F61" s="339">
        <f t="shared" si="3"/>
        <v>4.9125360727808021E-6</v>
      </c>
      <c r="G61" s="338">
        <f t="shared" si="4"/>
        <v>1</v>
      </c>
      <c r="H61" s="339">
        <f t="shared" si="5"/>
        <v>0</v>
      </c>
      <c r="I61" s="337">
        <f t="shared" si="6"/>
        <v>602.06163277751273</v>
      </c>
      <c r="J61" s="340">
        <f t="shared" si="7"/>
        <v>1.5691353665121677</v>
      </c>
      <c r="K61" s="348">
        <f t="shared" si="8"/>
        <v>1.0000956059060508</v>
      </c>
      <c r="L61" s="349">
        <f t="shared" si="9"/>
        <v>1.3827385117788799E-2</v>
      </c>
      <c r="M61" s="337">
        <f t="shared" si="10"/>
        <v>1.0000000033386258</v>
      </c>
      <c r="N61" s="340">
        <f t="shared" si="11"/>
        <v>8.1714451033505612E-5</v>
      </c>
      <c r="O61" s="341">
        <f t="shared" si="12"/>
        <v>1.0000000013435808</v>
      </c>
      <c r="P61" s="342">
        <f t="shared" si="13"/>
        <v>1.2343933478397665E-4</v>
      </c>
      <c r="Q61" s="343">
        <f t="shared" si="14"/>
        <v>36.836839125695519</v>
      </c>
      <c r="R61" s="344">
        <f t="shared" si="15"/>
        <v>-89.200700350459115</v>
      </c>
      <c r="S61" s="346">
        <f t="shared" si="16"/>
        <v>90.799299649540885</v>
      </c>
      <c r="U61" s="319">
        <f t="shared" si="23"/>
        <v>1000000000</v>
      </c>
      <c r="V61" s="319">
        <f t="shared" si="24"/>
        <v>6918.2469760000004</v>
      </c>
      <c r="X61" s="345">
        <f t="shared" si="17"/>
        <v>42.115235713013789</v>
      </c>
      <c r="Y61" s="346">
        <f t="shared" si="18"/>
        <v>-89.117265171910233</v>
      </c>
      <c r="AA61" s="345">
        <f t="shared" si="19"/>
        <v>32.939570426027991</v>
      </c>
      <c r="AB61" s="346">
        <f t="shared" si="20"/>
        <v>-8.3435178548888586E-2</v>
      </c>
      <c r="AD61">
        <f t="shared" si="25"/>
        <v>0</v>
      </c>
      <c r="AE61">
        <f t="shared" si="21"/>
        <v>0</v>
      </c>
    </row>
    <row r="62" spans="1:31" x14ac:dyDescent="0.2">
      <c r="A62" s="347">
        <v>91.201000000000008</v>
      </c>
      <c r="B62" s="364">
        <f t="shared" si="22"/>
        <v>9.1201000000000004E-2</v>
      </c>
      <c r="C62" s="337">
        <f t="shared" si="0"/>
        <v>1.0000010756860649</v>
      </c>
      <c r="D62" s="338">
        <f t="shared" si="1"/>
        <v>1.4667549901609264E-3</v>
      </c>
      <c r="E62" s="338">
        <f t="shared" si="2"/>
        <v>1.0000000000145073</v>
      </c>
      <c r="F62" s="339">
        <f t="shared" si="3"/>
        <v>5.3865081558737247E-6</v>
      </c>
      <c r="G62" s="338">
        <f t="shared" si="4"/>
        <v>1</v>
      </c>
      <c r="H62" s="339">
        <f t="shared" si="5"/>
        <v>0</v>
      </c>
      <c r="I62" s="337">
        <f t="shared" si="6"/>
        <v>660.14968534402783</v>
      </c>
      <c r="J62" s="340">
        <f t="shared" si="7"/>
        <v>1.5692815182527706</v>
      </c>
      <c r="K62" s="348">
        <f t="shared" si="8"/>
        <v>1.0001149432999943</v>
      </c>
      <c r="L62" s="349">
        <f t="shared" si="9"/>
        <v>1.5161285638463967E-2</v>
      </c>
      <c r="M62" s="337">
        <f t="shared" si="10"/>
        <v>1.0000000040139401</v>
      </c>
      <c r="N62" s="340">
        <f t="shared" si="11"/>
        <v>8.9598437594397274E-5</v>
      </c>
      <c r="O62" s="341">
        <f t="shared" si="12"/>
        <v>1.000000001615351</v>
      </c>
      <c r="P62" s="342">
        <f t="shared" si="13"/>
        <v>1.3534902825763256E-4</v>
      </c>
      <c r="Q62" s="343">
        <f t="shared" si="14"/>
        <v>36.036976119316272</v>
      </c>
      <c r="R62" s="344">
        <f t="shared" si="15"/>
        <v>-89.141149073285945</v>
      </c>
      <c r="S62" s="346">
        <f t="shared" si="16"/>
        <v>90.858850926714055</v>
      </c>
      <c r="U62" s="319">
        <f t="shared" si="23"/>
        <v>1000000000</v>
      </c>
      <c r="V62" s="319">
        <f t="shared" si="24"/>
        <v>8317.6224010000005</v>
      </c>
      <c r="X62" s="345">
        <f t="shared" si="17"/>
        <v>41.315374280907768</v>
      </c>
      <c r="Y62" s="346">
        <f t="shared" si="18"/>
        <v>-89.049663898768713</v>
      </c>
      <c r="AA62" s="345">
        <f t="shared" si="19"/>
        <v>32.939568851754757</v>
      </c>
      <c r="AB62" s="346">
        <f t="shared" si="20"/>
        <v>-9.1485174517225612E-2</v>
      </c>
      <c r="AD62">
        <f t="shared" si="25"/>
        <v>0</v>
      </c>
      <c r="AE62">
        <f t="shared" si="21"/>
        <v>0</v>
      </c>
    </row>
    <row r="63" spans="1:31" x14ac:dyDescent="0.2">
      <c r="A63" s="347">
        <v>100</v>
      </c>
      <c r="B63" s="364">
        <f t="shared" si="22"/>
        <v>0.1</v>
      </c>
      <c r="C63" s="337">
        <f t="shared" si="0"/>
        <v>1.0000012932613382</v>
      </c>
      <c r="D63" s="338">
        <f t="shared" si="1"/>
        <v>1.6082661126610976E-3</v>
      </c>
      <c r="E63" s="338">
        <f t="shared" si="2"/>
        <v>1.0000000000174416</v>
      </c>
      <c r="F63" s="339">
        <f t="shared" si="3"/>
        <v>5.9061941819313249E-6</v>
      </c>
      <c r="G63" s="338">
        <f t="shared" si="4"/>
        <v>1</v>
      </c>
      <c r="H63" s="339">
        <f t="shared" si="5"/>
        <v>0</v>
      </c>
      <c r="I63" s="337">
        <f t="shared" si="6"/>
        <v>723.84026262877194</v>
      </c>
      <c r="J63" s="340">
        <f t="shared" si="7"/>
        <v>1.5694148060786155</v>
      </c>
      <c r="K63" s="348">
        <f t="shared" si="8"/>
        <v>1.0001381908897371</v>
      </c>
      <c r="L63" s="349">
        <f t="shared" si="9"/>
        <v>1.6623776807848673E-2</v>
      </c>
      <c r="M63" s="337">
        <f t="shared" si="10"/>
        <v>1.0000000048258262</v>
      </c>
      <c r="N63" s="340">
        <f t="shared" si="11"/>
        <v>9.824282359393147E-5</v>
      </c>
      <c r="O63" s="341">
        <f t="shared" si="12"/>
        <v>1.0000000019420827</v>
      </c>
      <c r="P63" s="342">
        <f t="shared" si="13"/>
        <v>1.4840739498141103E-4</v>
      </c>
      <c r="Q63" s="343">
        <f t="shared" si="14"/>
        <v>35.237169802703498</v>
      </c>
      <c r="R63" s="344">
        <f t="shared" si="15"/>
        <v>-89.074313021902356</v>
      </c>
      <c r="S63" s="346">
        <f t="shared" si="16"/>
        <v>90.925686978097644</v>
      </c>
      <c r="U63" s="319">
        <f t="shared" si="23"/>
        <v>1000000000</v>
      </c>
      <c r="V63" s="319">
        <f t="shared" si="24"/>
        <v>10000</v>
      </c>
      <c r="X63" s="345">
        <f t="shared" si="17"/>
        <v>40.515569856940047</v>
      </c>
      <c r="Y63" s="346">
        <f t="shared" si="18"/>
        <v>-88.974001443817002</v>
      </c>
      <c r="AA63" s="345">
        <f t="shared" si="19"/>
        <v>32.939566959109719</v>
      </c>
      <c r="AB63" s="346">
        <f t="shared" si="20"/>
        <v>-0.1003115780853714</v>
      </c>
      <c r="AD63">
        <f t="shared" si="25"/>
        <v>0</v>
      </c>
      <c r="AE63">
        <f t="shared" si="21"/>
        <v>0</v>
      </c>
    </row>
    <row r="64" spans="1:31" x14ac:dyDescent="0.2">
      <c r="A64" s="347">
        <v>109.65</v>
      </c>
      <c r="B64" s="364">
        <f t="shared" si="22"/>
        <v>0.10965000000000001</v>
      </c>
      <c r="C64" s="337">
        <f t="shared" si="0"/>
        <v>1.0000015549037462</v>
      </c>
      <c r="D64" s="338">
        <f t="shared" si="1"/>
        <v>1.7634634849352999E-3</v>
      </c>
      <c r="E64" s="338">
        <f t="shared" si="2"/>
        <v>1.0000000000209703</v>
      </c>
      <c r="F64" s="339">
        <f t="shared" si="3"/>
        <v>6.4761419204724633E-6</v>
      </c>
      <c r="G64" s="338">
        <f t="shared" si="4"/>
        <v>1</v>
      </c>
      <c r="H64" s="339">
        <f t="shared" si="5"/>
        <v>0</v>
      </c>
      <c r="I64" s="337">
        <f t="shared" si="6"/>
        <v>793.6907205221529</v>
      </c>
      <c r="J64" s="340">
        <f t="shared" si="7"/>
        <v>1.5695363898462629</v>
      </c>
      <c r="K64" s="348">
        <f t="shared" si="8"/>
        <v>1.0001661462773881</v>
      </c>
      <c r="L64" s="349">
        <f t="shared" si="9"/>
        <v>1.8227631597539741E-2</v>
      </c>
      <c r="M64" s="337">
        <f t="shared" si="10"/>
        <v>1.0000000058021499</v>
      </c>
      <c r="N64" s="340">
        <f t="shared" si="11"/>
        <v>1.0772325600063069E-4</v>
      </c>
      <c r="O64" s="341">
        <f t="shared" si="12"/>
        <v>1.0000000023349898</v>
      </c>
      <c r="P64" s="342">
        <f t="shared" si="13"/>
        <v>1.627287086540298E-4</v>
      </c>
      <c r="Q64" s="343">
        <f t="shared" si="14"/>
        <v>34.437238973218783</v>
      </c>
      <c r="R64" s="344">
        <f t="shared" si="15"/>
        <v>-88.999608386577648</v>
      </c>
      <c r="S64" s="346">
        <f t="shared" si="16"/>
        <v>91.000391613422352</v>
      </c>
      <c r="U64" s="319">
        <f t="shared" si="23"/>
        <v>1000000000</v>
      </c>
      <c r="V64" s="319">
        <f t="shared" si="24"/>
        <v>12023.122500000001</v>
      </c>
      <c r="X64" s="345">
        <f t="shared" si="17"/>
        <v>39.715641303431269</v>
      </c>
      <c r="Y64" s="346">
        <f t="shared" si="18"/>
        <v>-88.889616758827799</v>
      </c>
      <c r="AA64" s="345">
        <f t="shared" si="19"/>
        <v>32.939564683133774</v>
      </c>
      <c r="AB64" s="346">
        <f t="shared" si="20"/>
        <v>-0.10999162774982754</v>
      </c>
      <c r="AD64">
        <f t="shared" si="25"/>
        <v>0</v>
      </c>
      <c r="AE64">
        <f t="shared" si="21"/>
        <v>0</v>
      </c>
    </row>
    <row r="65" spans="1:31" x14ac:dyDescent="0.2">
      <c r="A65" s="347">
        <v>120.23</v>
      </c>
      <c r="B65" s="364">
        <f t="shared" si="22"/>
        <v>0.12023</v>
      </c>
      <c r="C65" s="337">
        <f t="shared" si="0"/>
        <v>1.0000018694414325</v>
      </c>
      <c r="D65" s="338">
        <f t="shared" si="1"/>
        <v>1.9336176045118409E-3</v>
      </c>
      <c r="E65" s="338">
        <f t="shared" si="2"/>
        <v>1.0000000000252123</v>
      </c>
      <c r="F65" s="339">
        <f t="shared" si="3"/>
        <v>7.101017264899246E-6</v>
      </c>
      <c r="G65" s="338">
        <f t="shared" si="4"/>
        <v>1</v>
      </c>
      <c r="H65" s="339">
        <f t="shared" si="5"/>
        <v>0</v>
      </c>
      <c r="I65" s="337">
        <f t="shared" si="6"/>
        <v>870.27289178988224</v>
      </c>
      <c r="J65" s="340">
        <f t="shared" si="7"/>
        <v>1.5696472616803878</v>
      </c>
      <c r="K65" s="348">
        <f t="shared" si="8"/>
        <v>1.0001997522778738</v>
      </c>
      <c r="L65" s="349">
        <f t="shared" si="9"/>
        <v>1.9985946699124943E-2</v>
      </c>
      <c r="M65" s="337">
        <f t="shared" si="10"/>
        <v>1.0000000069758539</v>
      </c>
      <c r="N65" s="340">
        <f t="shared" si="11"/>
        <v>1.181173466376801E-4</v>
      </c>
      <c r="O65" s="341">
        <f t="shared" si="12"/>
        <v>1.0000000028073297</v>
      </c>
      <c r="P65" s="342">
        <f t="shared" si="13"/>
        <v>1.7843021112357455E-4</v>
      </c>
      <c r="Q65" s="343">
        <f t="shared" si="14"/>
        <v>33.637445009614019</v>
      </c>
      <c r="R65" s="344">
        <f t="shared" si="15"/>
        <v>-88.9164253178173</v>
      </c>
      <c r="S65" s="346">
        <f t="shared" si="16"/>
        <v>91.0835746821827</v>
      </c>
      <c r="U65" s="319">
        <f t="shared" si="23"/>
        <v>1000000000</v>
      </c>
      <c r="V65" s="319">
        <f t="shared" si="24"/>
        <v>14455.252900000001</v>
      </c>
      <c r="X65" s="345">
        <f t="shared" si="17"/>
        <v>38.91585007592731</v>
      </c>
      <c r="Y65" s="346">
        <f t="shared" si="18"/>
        <v>-88.795820750033272</v>
      </c>
      <c r="AA65" s="345">
        <f t="shared" si="19"/>
        <v>32.939561947032978</v>
      </c>
      <c r="AB65" s="346">
        <f t="shared" si="20"/>
        <v>-0.12060456778401643</v>
      </c>
      <c r="AD65">
        <f t="shared" si="25"/>
        <v>0</v>
      </c>
      <c r="AE65">
        <f t="shared" si="21"/>
        <v>0</v>
      </c>
    </row>
    <row r="66" spans="1:31" x14ac:dyDescent="0.2">
      <c r="A66" s="347">
        <v>131.83000000000001</v>
      </c>
      <c r="B66" s="364">
        <f t="shared" si="22"/>
        <v>0.13183</v>
      </c>
      <c r="C66" s="337">
        <f t="shared" si="0"/>
        <v>1.000002247577064</v>
      </c>
      <c r="D66" s="338">
        <f t="shared" si="1"/>
        <v>2.1201758674443327E-3</v>
      </c>
      <c r="E66" s="338">
        <f t="shared" si="2"/>
        <v>1.000000000030312</v>
      </c>
      <c r="F66" s="339">
        <f t="shared" si="3"/>
        <v>7.7861357899732595E-6</v>
      </c>
      <c r="G66" s="338">
        <f t="shared" si="4"/>
        <v>1</v>
      </c>
      <c r="H66" s="339">
        <f t="shared" si="5"/>
        <v>0</v>
      </c>
      <c r="I66" s="337">
        <f t="shared" si="6"/>
        <v>954.23823157229651</v>
      </c>
      <c r="J66" s="340">
        <f t="shared" si="7"/>
        <v>1.5697483702679529</v>
      </c>
      <c r="K66" s="348">
        <f t="shared" si="8"/>
        <v>1.0002401517627408</v>
      </c>
      <c r="L66" s="349">
        <f t="shared" si="9"/>
        <v>2.1913635566173165E-2</v>
      </c>
      <c r="M66" s="337">
        <f t="shared" si="10"/>
        <v>1.0000000083868752</v>
      </c>
      <c r="N66" s="340">
        <f t="shared" si="11"/>
        <v>1.2951351403641057E-4</v>
      </c>
      <c r="O66" s="341">
        <f t="shared" si="12"/>
        <v>1.0000000033751744</v>
      </c>
      <c r="P66" s="342">
        <f t="shared" si="13"/>
        <v>1.9564546905356749E-4</v>
      </c>
      <c r="Q66" s="343">
        <f t="shared" si="14"/>
        <v>32.837765401663759</v>
      </c>
      <c r="R66" s="344">
        <f t="shared" si="15"/>
        <v>-88.824059037372095</v>
      </c>
      <c r="S66" s="346">
        <f t="shared" si="16"/>
        <v>91.175940962627905</v>
      </c>
      <c r="U66" s="319">
        <f t="shared" si="23"/>
        <v>1000000000</v>
      </c>
      <c r="V66" s="319">
        <f t="shared" si="24"/>
        <v>17379.148900000004</v>
      </c>
      <c r="X66" s="345">
        <f t="shared" si="17"/>
        <v>38.11617375730259</v>
      </c>
      <c r="Y66" s="346">
        <f t="shared" si="18"/>
        <v>-88.691818361252814</v>
      </c>
      <c r="AA66" s="345">
        <f t="shared" si="19"/>
        <v>32.93955865770743</v>
      </c>
      <c r="AB66" s="346">
        <f t="shared" si="20"/>
        <v>-0.1322406761193011</v>
      </c>
      <c r="AD66">
        <f t="shared" si="25"/>
        <v>0</v>
      </c>
      <c r="AE66">
        <f t="shared" si="21"/>
        <v>0</v>
      </c>
    </row>
    <row r="67" spans="1:31" x14ac:dyDescent="0.2">
      <c r="A67" s="347">
        <v>144.54</v>
      </c>
      <c r="B67" s="364">
        <f t="shared" si="22"/>
        <v>0.14454</v>
      </c>
      <c r="C67" s="337">
        <f t="shared" si="0"/>
        <v>1.0000027018553201</v>
      </c>
      <c r="D67" s="338">
        <f t="shared" si="1"/>
        <v>2.3245856563109462E-3</v>
      </c>
      <c r="E67" s="338">
        <f t="shared" si="2"/>
        <v>1.0000000000364386</v>
      </c>
      <c r="F67" s="339">
        <f t="shared" si="3"/>
        <v>8.5368130704554212E-6</v>
      </c>
      <c r="G67" s="338">
        <f t="shared" si="4"/>
        <v>1</v>
      </c>
      <c r="H67" s="339">
        <f t="shared" si="5"/>
        <v>0</v>
      </c>
      <c r="I67" s="337">
        <f t="shared" si="6"/>
        <v>1046.2381950812</v>
      </c>
      <c r="J67" s="340">
        <f t="shared" si="7"/>
        <v>1.5698405213607594</v>
      </c>
      <c r="K67" s="348">
        <f t="shared" si="8"/>
        <v>1.0002886840823288</v>
      </c>
      <c r="L67" s="349">
        <f t="shared" si="9"/>
        <v>2.4025596795221853E-2</v>
      </c>
      <c r="M67" s="337">
        <f t="shared" si="10"/>
        <v>1.0000000100820252</v>
      </c>
      <c r="N67" s="340">
        <f t="shared" si="11"/>
        <v>1.4200017672508108E-4</v>
      </c>
      <c r="O67" s="341">
        <f t="shared" si="12"/>
        <v>1.0000000040573624</v>
      </c>
      <c r="P67" s="342">
        <f t="shared" si="13"/>
        <v>2.1450804911002399E-4</v>
      </c>
      <c r="Q67" s="343">
        <f t="shared" si="14"/>
        <v>32.038707706045258</v>
      </c>
      <c r="R67" s="344">
        <f t="shared" si="15"/>
        <v>-88.72179742788434</v>
      </c>
      <c r="S67" s="346">
        <f t="shared" si="16"/>
        <v>91.27820257211566</v>
      </c>
      <c r="U67" s="319">
        <f t="shared" si="23"/>
        <v>1000000000</v>
      </c>
      <c r="V67" s="319">
        <f t="shared" si="24"/>
        <v>20891.811599999997</v>
      </c>
      <c r="X67" s="345">
        <f t="shared" si="17"/>
        <v>37.317120013357311</v>
      </c>
      <c r="Y67" s="346">
        <f t="shared" si="18"/>
        <v>-88.576807197969231</v>
      </c>
      <c r="AA67" s="345">
        <f t="shared" si="19"/>
        <v>32.939554706034208</v>
      </c>
      <c r="AB67" s="346">
        <f t="shared" si="20"/>
        <v>-0.14499022991510138</v>
      </c>
      <c r="AD67">
        <f t="shared" si="25"/>
        <v>0</v>
      </c>
      <c r="AE67">
        <f t="shared" si="21"/>
        <v>0</v>
      </c>
    </row>
    <row r="68" spans="1:31" x14ac:dyDescent="0.2">
      <c r="A68" s="347">
        <v>158.49</v>
      </c>
      <c r="B68" s="364">
        <f t="shared" si="22"/>
        <v>0.15849000000000002</v>
      </c>
      <c r="C68" s="337">
        <f t="shared" si="0"/>
        <v>1.000003248550339</v>
      </c>
      <c r="D68" s="338">
        <f t="shared" si="1"/>
        <v>2.5489376393534554E-3</v>
      </c>
      <c r="E68" s="338">
        <f t="shared" si="2"/>
        <v>1.0000000000438116</v>
      </c>
      <c r="F68" s="339">
        <f t="shared" si="3"/>
        <v>9.3607271587783967E-6</v>
      </c>
      <c r="G68" s="338">
        <f t="shared" si="4"/>
        <v>1</v>
      </c>
      <c r="H68" s="339">
        <f t="shared" si="5"/>
        <v>0</v>
      </c>
      <c r="I68" s="337">
        <f t="shared" si="6"/>
        <v>1147.2137732927185</v>
      </c>
      <c r="J68" s="340">
        <f t="shared" si="7"/>
        <v>1.5699246495627042</v>
      </c>
      <c r="K68" s="348">
        <f t="shared" si="8"/>
        <v>1.0003470865529067</v>
      </c>
      <c r="L68" s="349">
        <f t="shared" si="9"/>
        <v>2.634335558487623E-2</v>
      </c>
      <c r="M68" s="337">
        <f t="shared" si="10"/>
        <v>1.0000000121220316</v>
      </c>
      <c r="N68" s="340">
        <f t="shared" si="11"/>
        <v>1.5570505035665134E-4</v>
      </c>
      <c r="O68" s="341">
        <f t="shared" si="12"/>
        <v>1.0000000048783331</v>
      </c>
      <c r="P68" s="342">
        <f t="shared" si="13"/>
        <v>2.3521088092079727E-4</v>
      </c>
      <c r="Q68" s="343">
        <f t="shared" si="14"/>
        <v>31.238934416154596</v>
      </c>
      <c r="R68" s="344">
        <f t="shared" si="15"/>
        <v>-88.608598453346261</v>
      </c>
      <c r="S68" s="346">
        <f t="shared" si="16"/>
        <v>91.391401546653739</v>
      </c>
      <c r="U68" s="319">
        <f t="shared" si="23"/>
        <v>1000000000</v>
      </c>
      <c r="V68" s="319">
        <f t="shared" si="24"/>
        <v>25119.080100000003</v>
      </c>
      <c r="X68" s="345">
        <f t="shared" si="17"/>
        <v>36.517351479051939</v>
      </c>
      <c r="Y68" s="346">
        <f t="shared" si="18"/>
        <v>-88.449614823574663</v>
      </c>
      <c r="AA68" s="345">
        <f t="shared" si="19"/>
        <v>32.939549950448914</v>
      </c>
      <c r="AB68" s="346">
        <f t="shared" si="20"/>
        <v>-0.15898362977160177</v>
      </c>
      <c r="AD68">
        <f t="shared" si="25"/>
        <v>0</v>
      </c>
      <c r="AE68">
        <f t="shared" si="21"/>
        <v>0</v>
      </c>
    </row>
    <row r="69" spans="1:31" x14ac:dyDescent="0.2">
      <c r="A69" s="347">
        <v>173.78</v>
      </c>
      <c r="B69" s="364">
        <f t="shared" si="22"/>
        <v>0.17377999999999999</v>
      </c>
      <c r="C69" s="337">
        <f t="shared" si="0"/>
        <v>1.0000039055779772</v>
      </c>
      <c r="D69" s="338">
        <f t="shared" si="1"/>
        <v>2.7948399832495017E-3</v>
      </c>
      <c r="E69" s="338">
        <f t="shared" si="2"/>
        <v>1.0000000000526725</v>
      </c>
      <c r="F69" s="339">
        <f t="shared" si="3"/>
        <v>1.0263784249119188E-5</v>
      </c>
      <c r="G69" s="338">
        <f t="shared" si="4"/>
        <v>1</v>
      </c>
      <c r="H69" s="339">
        <f t="shared" si="5"/>
        <v>0</v>
      </c>
      <c r="I69" s="337">
        <f t="shared" si="6"/>
        <v>1257.8888054842153</v>
      </c>
      <c r="J69" s="340">
        <f t="shared" si="7"/>
        <v>1.570001343883074</v>
      </c>
      <c r="K69" s="348">
        <f t="shared" si="8"/>
        <v>1.0004172711950969</v>
      </c>
      <c r="L69" s="349">
        <f t="shared" si="9"/>
        <v>2.8883426067588872E-2</v>
      </c>
      <c r="M69" s="337">
        <f t="shared" si="10"/>
        <v>1.0000000145737482</v>
      </c>
      <c r="N69" s="340">
        <f t="shared" si="11"/>
        <v>1.7072637773204918E-4</v>
      </c>
      <c r="O69" s="341">
        <f t="shared" si="12"/>
        <v>1.0000000058649905</v>
      </c>
      <c r="P69" s="342">
        <f t="shared" si="13"/>
        <v>2.5790237189926677E-4</v>
      </c>
      <c r="Q69" s="343">
        <f t="shared" si="14"/>
        <v>30.439580068204883</v>
      </c>
      <c r="R69" s="344">
        <f t="shared" si="15"/>
        <v>-88.483655606191022</v>
      </c>
      <c r="S69" s="346">
        <f t="shared" si="16"/>
        <v>91.516344393808978</v>
      </c>
      <c r="U69" s="319">
        <f t="shared" si="23"/>
        <v>1000000000</v>
      </c>
      <c r="V69" s="319">
        <f t="shared" si="24"/>
        <v>30199.488400000002</v>
      </c>
      <c r="X69" s="345">
        <f t="shared" si="17"/>
        <v>35.718002846444399</v>
      </c>
      <c r="Y69" s="346">
        <f t="shared" si="18"/>
        <v>-88.309334424620275</v>
      </c>
      <c r="AA69" s="345">
        <f t="shared" si="19"/>
        <v>32.939544235106737</v>
      </c>
      <c r="AB69" s="346">
        <f t="shared" si="20"/>
        <v>-0.17432118157073509</v>
      </c>
      <c r="AD69">
        <f t="shared" si="25"/>
        <v>0</v>
      </c>
      <c r="AE69">
        <f t="shared" si="21"/>
        <v>0</v>
      </c>
    </row>
    <row r="70" spans="1:31" x14ac:dyDescent="0.2">
      <c r="A70" s="347">
        <v>190.55</v>
      </c>
      <c r="B70" s="364">
        <f t="shared" si="22"/>
        <v>0.19055000000000002</v>
      </c>
      <c r="C70" s="337">
        <f t="shared" si="0"/>
        <v>1.0000046957337261</v>
      </c>
      <c r="D70" s="338">
        <f t="shared" si="1"/>
        <v>3.0645441263319226E-3</v>
      </c>
      <c r="E70" s="338">
        <f t="shared" si="2"/>
        <v>1.0000000000633291</v>
      </c>
      <c r="F70" s="339">
        <f t="shared" si="3"/>
        <v>1.1254253013325854E-5</v>
      </c>
      <c r="G70" s="338">
        <f t="shared" si="4"/>
        <v>1</v>
      </c>
      <c r="H70" s="339">
        <f t="shared" si="5"/>
        <v>0</v>
      </c>
      <c r="I70" s="337">
        <f t="shared" si="6"/>
        <v>1379.2766667039521</v>
      </c>
      <c r="J70" s="340">
        <f t="shared" si="7"/>
        <v>1.5700713090288829</v>
      </c>
      <c r="K70" s="348">
        <f t="shared" si="8"/>
        <v>1.0005016703147016</v>
      </c>
      <c r="L70" s="349">
        <f t="shared" si="9"/>
        <v>3.1668933574024311E-2</v>
      </c>
      <c r="M70" s="337">
        <f t="shared" si="10"/>
        <v>1.0000000175222383</v>
      </c>
      <c r="N70" s="340">
        <f t="shared" si="11"/>
        <v>1.8720169877370983E-4</v>
      </c>
      <c r="O70" s="341">
        <f t="shared" si="12"/>
        <v>1.0000000070515671</v>
      </c>
      <c r="P70" s="342">
        <f t="shared" si="13"/>
        <v>2.8279029242324143E-4</v>
      </c>
      <c r="Q70" s="343">
        <f t="shared" si="14"/>
        <v>29.640123171401921</v>
      </c>
      <c r="R70" s="344">
        <f t="shared" si="15"/>
        <v>-88.345832588285205</v>
      </c>
      <c r="S70" s="346">
        <f t="shared" si="16"/>
        <v>91.654167411714795</v>
      </c>
      <c r="U70" s="319">
        <f t="shared" si="23"/>
        <v>1000000000</v>
      </c>
      <c r="V70" s="319">
        <f t="shared" si="24"/>
        <v>36309.302500000005</v>
      </c>
      <c r="X70" s="345">
        <f t="shared" si="17"/>
        <v>34.918552823031476</v>
      </c>
      <c r="Y70" s="346">
        <f t="shared" si="18"/>
        <v>-88.15468927445248</v>
      </c>
      <c r="AA70" s="345">
        <f t="shared" si="19"/>
        <v>32.939537361716717</v>
      </c>
      <c r="AB70" s="346">
        <f t="shared" si="20"/>
        <v>-0.19114331383272454</v>
      </c>
      <c r="AD70">
        <f t="shared" si="25"/>
        <v>0</v>
      </c>
      <c r="AE70">
        <f t="shared" si="21"/>
        <v>0</v>
      </c>
    </row>
    <row r="71" spans="1:31" x14ac:dyDescent="0.2">
      <c r="A71" s="347">
        <v>208.93</v>
      </c>
      <c r="B71" s="364">
        <f t="shared" si="22"/>
        <v>0.20893</v>
      </c>
      <c r="C71" s="337">
        <f t="shared" si="0"/>
        <v>1.0000056452991186</v>
      </c>
      <c r="D71" s="338">
        <f t="shared" si="1"/>
        <v>3.3601406402208158E-3</v>
      </c>
      <c r="E71" s="338">
        <f t="shared" si="2"/>
        <v>1.0000000000761355</v>
      </c>
      <c r="F71" s="339">
        <f t="shared" si="3"/>
        <v>1.233981150382627E-5</v>
      </c>
      <c r="G71" s="338">
        <f t="shared" si="4"/>
        <v>1</v>
      </c>
      <c r="H71" s="339">
        <f t="shared" si="5"/>
        <v>0</v>
      </c>
      <c r="I71" s="337">
        <f t="shared" si="6"/>
        <v>1512.3183481227034</v>
      </c>
      <c r="J71" s="340">
        <f t="shared" si="7"/>
        <v>1.5701350903071467</v>
      </c>
      <c r="K71" s="348">
        <f t="shared" si="8"/>
        <v>1.0006030871698259</v>
      </c>
      <c r="L71" s="349">
        <f t="shared" si="9"/>
        <v>3.4721296940500246E-2</v>
      </c>
      <c r="M71" s="337">
        <f t="shared" si="10"/>
        <v>1.0000000210655733</v>
      </c>
      <c r="N71" s="340">
        <f t="shared" si="11"/>
        <v>2.0525872911256781E-4</v>
      </c>
      <c r="O71" s="341">
        <f t="shared" si="12"/>
        <v>1.0000000084775302</v>
      </c>
      <c r="P71" s="342">
        <f t="shared" si="13"/>
        <v>3.100675721384522E-4</v>
      </c>
      <c r="Q71" s="343">
        <f t="shared" si="14"/>
        <v>28.841158650724921</v>
      </c>
      <c r="R71" s="344">
        <f t="shared" si="15"/>
        <v>-88.194071147126778</v>
      </c>
      <c r="S71" s="346">
        <f t="shared" si="16"/>
        <v>91.805928852873222</v>
      </c>
      <c r="U71" s="319">
        <f t="shared" si="23"/>
        <v>1000000000</v>
      </c>
      <c r="V71" s="319">
        <f t="shared" si="24"/>
        <v>43651.744900000005</v>
      </c>
      <c r="X71" s="345">
        <f t="shared" si="17"/>
        <v>34.119596562406549</v>
      </c>
      <c r="Y71" s="346">
        <f t="shared" si="18"/>
        <v>-87.984490725504017</v>
      </c>
      <c r="AA71" s="345">
        <f t="shared" si="19"/>
        <v>32.939529101664633</v>
      </c>
      <c r="AB71" s="346">
        <f t="shared" si="20"/>
        <v>-0.20958042162276494</v>
      </c>
      <c r="AD71">
        <f t="shared" si="25"/>
        <v>0</v>
      </c>
      <c r="AE71">
        <f t="shared" si="21"/>
        <v>0</v>
      </c>
    </row>
    <row r="72" spans="1:31" x14ac:dyDescent="0.2">
      <c r="A72" s="347">
        <v>229.09</v>
      </c>
      <c r="B72" s="364">
        <f t="shared" si="22"/>
        <v>0.22909000000000002</v>
      </c>
      <c r="C72" s="337">
        <f t="shared" si="0"/>
        <v>1.0000067873050102</v>
      </c>
      <c r="D72" s="338">
        <f t="shared" si="1"/>
        <v>3.6843633428085059E-3</v>
      </c>
      <c r="E72" s="338">
        <f t="shared" si="2"/>
        <v>1.0000000000915372</v>
      </c>
      <c r="F72" s="339">
        <f t="shared" si="3"/>
        <v>1.3530500250718105E-5</v>
      </c>
      <c r="G72" s="338">
        <f t="shared" si="4"/>
        <v>1</v>
      </c>
      <c r="H72" s="339">
        <f t="shared" si="5"/>
        <v>0</v>
      </c>
      <c r="I72" s="337">
        <f t="shared" si="6"/>
        <v>1658.244376716837</v>
      </c>
      <c r="J72" s="340">
        <f t="shared" si="7"/>
        <v>1.5701932793341895</v>
      </c>
      <c r="K72" s="348">
        <f t="shared" si="8"/>
        <v>1.0007250438472888</v>
      </c>
      <c r="L72" s="349">
        <f t="shared" si="9"/>
        <v>3.8068518340979442E-2</v>
      </c>
      <c r="M72" s="337">
        <f t="shared" si="10"/>
        <v>1.0000000253270109</v>
      </c>
      <c r="N72" s="340">
        <f t="shared" si="11"/>
        <v>2.2506448149527862E-4</v>
      </c>
      <c r="O72" s="341">
        <f t="shared" si="12"/>
        <v>1.0000000101924833</v>
      </c>
      <c r="P72" s="342">
        <f t="shared" si="13"/>
        <v>3.3998650365975634E-4</v>
      </c>
      <c r="Q72" s="343">
        <f t="shared" si="14"/>
        <v>28.042101039148093</v>
      </c>
      <c r="R72" s="344">
        <f t="shared" si="15"/>
        <v>-88.026980858822057</v>
      </c>
      <c r="S72" s="346">
        <f t="shared" si="16"/>
        <v>91.973019141177943</v>
      </c>
      <c r="U72" s="319">
        <f t="shared" si="23"/>
        <v>1000000000</v>
      </c>
      <c r="V72" s="319">
        <f t="shared" si="24"/>
        <v>52482.2281</v>
      </c>
      <c r="X72" s="345">
        <f t="shared" si="17"/>
        <v>33.320548884867321</v>
      </c>
      <c r="Y72" s="346">
        <f t="shared" si="18"/>
        <v>-87.797177837631779</v>
      </c>
      <c r="AA72" s="345">
        <f t="shared" si="19"/>
        <v>32.939519167627033</v>
      </c>
      <c r="AB72" s="346">
        <f t="shared" si="20"/>
        <v>-0.22980302119027365</v>
      </c>
      <c r="AD72">
        <f t="shared" si="25"/>
        <v>0</v>
      </c>
      <c r="AE72">
        <f t="shared" si="21"/>
        <v>0</v>
      </c>
    </row>
    <row r="73" spans="1:31" x14ac:dyDescent="0.2">
      <c r="A73" s="347">
        <v>251.19</v>
      </c>
      <c r="B73" s="364">
        <f t="shared" si="22"/>
        <v>0.25119000000000002</v>
      </c>
      <c r="C73" s="337">
        <f t="shared" si="0"/>
        <v>1.0000081599875368</v>
      </c>
      <c r="D73" s="338">
        <f t="shared" si="1"/>
        <v>4.0397851550161429E-3</v>
      </c>
      <c r="E73" s="338">
        <f t="shared" si="2"/>
        <v>1.00000000011005</v>
      </c>
      <c r="F73" s="339">
        <f t="shared" si="3"/>
        <v>1.483576916467735E-5</v>
      </c>
      <c r="G73" s="338">
        <f t="shared" si="4"/>
        <v>1</v>
      </c>
      <c r="H73" s="339">
        <f t="shared" si="5"/>
        <v>0</v>
      </c>
      <c r="I73" s="337">
        <f t="shared" si="6"/>
        <v>1818.2128955713131</v>
      </c>
      <c r="J73" s="340">
        <f t="shared" si="7"/>
        <v>1.5702463361679184</v>
      </c>
      <c r="K73" s="348">
        <f t="shared" si="8"/>
        <v>1.000871615378061</v>
      </c>
      <c r="L73" s="349">
        <f t="shared" si="9"/>
        <v>4.1736860306287669E-2</v>
      </c>
      <c r="M73" s="337">
        <f t="shared" si="10"/>
        <v>1.0000000304492334</v>
      </c>
      <c r="N73" s="340">
        <f t="shared" si="11"/>
        <v>2.4677614437009941E-4</v>
      </c>
      <c r="O73" s="341">
        <f t="shared" si="12"/>
        <v>1.0000000122538468</v>
      </c>
      <c r="P73" s="342">
        <f t="shared" si="13"/>
        <v>3.7278453887553184E-4</v>
      </c>
      <c r="Q73" s="343">
        <f t="shared" si="14"/>
        <v>27.243437134339143</v>
      </c>
      <c r="R73" s="344">
        <f t="shared" si="15"/>
        <v>-87.843252837865847</v>
      </c>
      <c r="S73" s="346">
        <f t="shared" si="16"/>
        <v>92.156747162134153</v>
      </c>
      <c r="U73" s="319">
        <f t="shared" si="23"/>
        <v>1000000000</v>
      </c>
      <c r="V73" s="319">
        <f t="shared" si="24"/>
        <v>63096.416100000002</v>
      </c>
      <c r="X73" s="345">
        <f t="shared" si="17"/>
        <v>32.521896920682167</v>
      </c>
      <c r="Y73" s="346">
        <f t="shared" si="18"/>
        <v>-87.591281244269553</v>
      </c>
      <c r="AA73" s="345">
        <f t="shared" si="19"/>
        <v>32.939507227003233</v>
      </c>
      <c r="AB73" s="346">
        <f t="shared" si="20"/>
        <v>-0.25197159359627969</v>
      </c>
      <c r="AD73">
        <f t="shared" si="25"/>
        <v>0</v>
      </c>
      <c r="AE73">
        <f t="shared" si="21"/>
        <v>0</v>
      </c>
    </row>
    <row r="74" spans="1:31" x14ac:dyDescent="0.2">
      <c r="A74" s="347">
        <v>275.42</v>
      </c>
      <c r="B74" s="364">
        <f t="shared" si="22"/>
        <v>0.27542</v>
      </c>
      <c r="C74" s="337">
        <f t="shared" si="0"/>
        <v>1.0000098101442454</v>
      </c>
      <c r="D74" s="338">
        <f t="shared" si="1"/>
        <v>4.4294613773862594E-3</v>
      </c>
      <c r="E74" s="338">
        <f t="shared" si="2"/>
        <v>1.0000000001323051</v>
      </c>
      <c r="F74" s="339">
        <f t="shared" si="3"/>
        <v>1.6266840014629612E-5</v>
      </c>
      <c r="G74" s="338">
        <f t="shared" si="4"/>
        <v>1</v>
      </c>
      <c r="H74" s="339">
        <f t="shared" si="5"/>
        <v>0</v>
      </c>
      <c r="I74" s="337">
        <f t="shared" si="6"/>
        <v>1993.5991996423672</v>
      </c>
      <c r="J74" s="340">
        <f t="shared" si="7"/>
        <v>1.5702947214360492</v>
      </c>
      <c r="K74" s="348">
        <f t="shared" si="8"/>
        <v>1.001047786752554</v>
      </c>
      <c r="L74" s="349">
        <f t="shared" si="9"/>
        <v>4.57574625370544E-2</v>
      </c>
      <c r="M74" s="337">
        <f t="shared" si="10"/>
        <v>1.0000000366068718</v>
      </c>
      <c r="N74" s="340">
        <f t="shared" si="11"/>
        <v>2.7058037900952117E-4</v>
      </c>
      <c r="O74" s="341">
        <f t="shared" si="12"/>
        <v>1.0000000147318986</v>
      </c>
      <c r="P74" s="342">
        <f t="shared" si="13"/>
        <v>4.0874365191119369E-4</v>
      </c>
      <c r="Q74" s="343">
        <f t="shared" si="14"/>
        <v>26.445089125021855</v>
      </c>
      <c r="R74" s="344">
        <f t="shared" si="15"/>
        <v>-87.641330566555681</v>
      </c>
      <c r="S74" s="346">
        <f t="shared" si="16"/>
        <v>92.358669433444319</v>
      </c>
      <c r="U74" s="319">
        <f t="shared" si="23"/>
        <v>1000000000</v>
      </c>
      <c r="V74" s="319">
        <f t="shared" si="24"/>
        <v>75856.176400000011</v>
      </c>
      <c r="X74" s="345">
        <f t="shared" si="17"/>
        <v>31.723563265645936</v>
      </c>
      <c r="Y74" s="346">
        <f t="shared" si="18"/>
        <v>-87.365053858921115</v>
      </c>
      <c r="AA74" s="345">
        <f t="shared" si="19"/>
        <v>32.939492872722184</v>
      </c>
      <c r="AB74" s="346">
        <f t="shared" si="20"/>
        <v>-0.2762767076345522</v>
      </c>
      <c r="AD74">
        <f t="shared" si="25"/>
        <v>0</v>
      </c>
      <c r="AE74">
        <f t="shared" si="21"/>
        <v>0</v>
      </c>
    </row>
    <row r="75" spans="1:31" x14ac:dyDescent="0.2">
      <c r="A75" s="347">
        <v>302</v>
      </c>
      <c r="B75" s="364">
        <f t="shared" si="22"/>
        <v>0.30199999999999999</v>
      </c>
      <c r="C75" s="337">
        <f t="shared" si="0"/>
        <v>1.0000117949987763</v>
      </c>
      <c r="D75" s="338">
        <f t="shared" si="1"/>
        <v>4.8569296561473321E-3</v>
      </c>
      <c r="E75" s="338">
        <f t="shared" si="2"/>
        <v>1.0000000001590741</v>
      </c>
      <c r="F75" s="339">
        <f t="shared" si="3"/>
        <v>1.7836706427748431E-5</v>
      </c>
      <c r="G75" s="338">
        <f t="shared" si="4"/>
        <v>1</v>
      </c>
      <c r="H75" s="339">
        <f t="shared" si="5"/>
        <v>0</v>
      </c>
      <c r="I75" s="337">
        <f t="shared" si="6"/>
        <v>2185.9957357710064</v>
      </c>
      <c r="J75" s="340">
        <f t="shared" si="7"/>
        <v>1.5703388693449509</v>
      </c>
      <c r="K75" s="348">
        <f t="shared" si="8"/>
        <v>1.0012596499166746</v>
      </c>
      <c r="L75" s="349">
        <f t="shared" si="9"/>
        <v>5.0166304856842044E-2</v>
      </c>
      <c r="M75" s="337">
        <f t="shared" si="10"/>
        <v>1.0000000440134647</v>
      </c>
      <c r="N75" s="340">
        <f t="shared" si="11"/>
        <v>2.9669331950253272E-4</v>
      </c>
      <c r="O75" s="341">
        <f t="shared" si="12"/>
        <v>1.0000000177125736</v>
      </c>
      <c r="P75" s="342">
        <f t="shared" si="13"/>
        <v>4.4819033913547367E-4</v>
      </c>
      <c r="Q75" s="343">
        <f t="shared" si="14"/>
        <v>25.646680698226461</v>
      </c>
      <c r="R75" s="344">
        <f t="shared" si="15"/>
        <v>-87.419410469197516</v>
      </c>
      <c r="S75" s="346">
        <f t="shared" si="16"/>
        <v>92.580589530802484</v>
      </c>
      <c r="U75" s="319">
        <f t="shared" si="23"/>
        <v>1000000000</v>
      </c>
      <c r="V75" s="319">
        <f t="shared" si="24"/>
        <v>91204</v>
      </c>
      <c r="X75" s="345">
        <f t="shared" si="17"/>
        <v>30.925172104549009</v>
      </c>
      <c r="Y75" s="346">
        <f t="shared" si="18"/>
        <v>-87.116471451309891</v>
      </c>
      <c r="AA75" s="345">
        <f t="shared" si="19"/>
        <v>32.939475607023716</v>
      </c>
      <c r="AB75" s="346">
        <f t="shared" si="20"/>
        <v>-0.30293901788760241</v>
      </c>
      <c r="AD75">
        <f t="shared" si="25"/>
        <v>0</v>
      </c>
      <c r="AE75">
        <f t="shared" si="21"/>
        <v>0</v>
      </c>
    </row>
    <row r="76" spans="1:31" x14ac:dyDescent="0.2">
      <c r="A76" s="347">
        <v>331.13</v>
      </c>
      <c r="B76" s="364">
        <f t="shared" si="22"/>
        <v>0.33112999999999998</v>
      </c>
      <c r="C76" s="337">
        <f t="shared" si="0"/>
        <v>1.0000141801411728</v>
      </c>
      <c r="D76" s="338">
        <f t="shared" si="1"/>
        <v>5.325405827007761E-3</v>
      </c>
      <c r="E76" s="338">
        <f t="shared" si="2"/>
        <v>1.0000000001912417</v>
      </c>
      <c r="F76" s="339">
        <f t="shared" si="3"/>
        <v>1.9557180792363169E-5</v>
      </c>
      <c r="G76" s="338">
        <f t="shared" si="4"/>
        <v>1</v>
      </c>
      <c r="H76" s="339">
        <f t="shared" si="5"/>
        <v>0</v>
      </c>
      <c r="I76" s="337">
        <f t="shared" si="6"/>
        <v>2396.8501829346378</v>
      </c>
      <c r="J76" s="340">
        <f t="shared" si="7"/>
        <v>1.5703791125542523</v>
      </c>
      <c r="K76" s="348">
        <f t="shared" si="8"/>
        <v>1.0015141810342745</v>
      </c>
      <c r="L76" s="349">
        <f t="shared" si="9"/>
        <v>5.4995870382578887E-2</v>
      </c>
      <c r="M76" s="337">
        <f t="shared" si="10"/>
        <v>1.0000000529137725</v>
      </c>
      <c r="N76" s="340">
        <f t="shared" si="11"/>
        <v>3.2531145133754563E-4</v>
      </c>
      <c r="O76" s="341">
        <f t="shared" si="12"/>
        <v>1.0000000212943729</v>
      </c>
      <c r="P76" s="342">
        <f t="shared" si="13"/>
        <v>4.9142141546721361E-4</v>
      </c>
      <c r="Q76" s="343">
        <f t="shared" si="14"/>
        <v>24.84903607013138</v>
      </c>
      <c r="R76" s="344">
        <f t="shared" si="15"/>
        <v>-87.175862301321857</v>
      </c>
      <c r="S76" s="346">
        <f t="shared" si="16"/>
        <v>92.824137698678143</v>
      </c>
      <c r="U76" s="319">
        <f t="shared" si="23"/>
        <v>1000000000</v>
      </c>
      <c r="V76" s="319">
        <f t="shared" si="24"/>
        <v>109647.0769</v>
      </c>
      <c r="X76" s="345">
        <f t="shared" si="17"/>
        <v>30.127548224100202</v>
      </c>
      <c r="Y76" s="346">
        <f t="shared" si="18"/>
        <v>-86.843703193710354</v>
      </c>
      <c r="AA76" s="345">
        <f t="shared" si="19"/>
        <v>32.939454859377442</v>
      </c>
      <c r="AB76" s="346">
        <f t="shared" si="20"/>
        <v>-0.33215910761150713</v>
      </c>
      <c r="AD76">
        <f t="shared" si="25"/>
        <v>0</v>
      </c>
      <c r="AE76">
        <f t="shared" si="21"/>
        <v>0</v>
      </c>
    </row>
    <row r="77" spans="1:31" x14ac:dyDescent="0.2">
      <c r="A77" s="347">
        <v>363.08</v>
      </c>
      <c r="B77" s="364">
        <f t="shared" si="22"/>
        <v>0.36307999999999996</v>
      </c>
      <c r="C77" s="337">
        <f t="shared" ref="C77:C140" si="26">SQRT(1+(A77/pole1)^2)</f>
        <v>1.0000170485531164</v>
      </c>
      <c r="D77" s="338">
        <f t="shared" ref="D77:D140" si="27">ATAN(A77/pole1)</f>
        <v>5.8392312694120182E-3</v>
      </c>
      <c r="E77" s="338">
        <f t="shared" ref="E77:E140" si="28">SQRT(1+(A77/Zero1)^2)</f>
        <v>1.0000000002299272</v>
      </c>
      <c r="F77" s="339">
        <f t="shared" ref="F77:F140" si="29">ATAN(A77/Zero1)</f>
        <v>2.1444209832718529E-5</v>
      </c>
      <c r="G77" s="338">
        <f t="shared" ref="G77:G140" si="30">IF(VIN_nom&gt;Vout, 1, SQRT(1+(A77/z_RHP)^2))</f>
        <v>1</v>
      </c>
      <c r="H77" s="339">
        <f t="shared" ref="H77:H140" si="31">IF(VIN_nom&gt;Vout, 0, -ATAN(A77/z_RHP))</f>
        <v>0</v>
      </c>
      <c r="I77" s="337">
        <f t="shared" ref="I77:I140" si="32">SQRT(1+(A77/Pole2)^2)</f>
        <v>2628.116907789733</v>
      </c>
      <c r="J77" s="340">
        <f t="shared" ref="J77:J140" si="33">ATAN(A77/Pole2)</f>
        <v>1.5704158262086532</v>
      </c>
      <c r="K77" s="348">
        <f t="shared" ref="K77:K140" si="34">SQRT(1+(A77/Zero2)^2)</f>
        <v>1.0018201995461751</v>
      </c>
      <c r="L77" s="349">
        <f t="shared" ref="L77:L140" si="35">ATAN(A77/Zero2)</f>
        <v>6.0290013918162244E-2</v>
      </c>
      <c r="M77" s="337">
        <f t="shared" ref="M77:M140" si="36">SQRT(1+(A77/pole4)^2)</f>
        <v>1.0000000636174591</v>
      </c>
      <c r="N77" s="340">
        <f t="shared" ref="N77:N140" si="37">ATAN(A77/pole4)</f>
        <v>3.5670002992419501E-4</v>
      </c>
      <c r="O77" s="341">
        <f t="shared" ref="O77:O140" si="38">SQRT((1-(V77/pterm2))^2+(A77/pterm1)^2)</f>
        <v>1.0000000256019161</v>
      </c>
      <c r="P77" s="342">
        <f t="shared" ref="P77:P140" si="39">IF((ATAN((A77/pterm1)/(1-A77^2/pterm2))&gt;0),ATAN((A77/pterm1)/(1-A77^2/pterm2)),PI()+ATAN((A77/pterm1)/(1-A77^2/pterm2)))</f>
        <v>5.3883758104662284E-4</v>
      </c>
      <c r="Q77" s="343">
        <f t="shared" ref="Q77:Q140" si="40">20*LOG10(((E77*K77*G77)/(C77*I77*O77*M77))*Adc)</f>
        <v>24.051588818817006</v>
      </c>
      <c r="R77" s="344">
        <f t="shared" ref="R77:R140" si="41">((F77+L77+H77)-(D77+J77+P77+N77))*radconv</f>
        <v>-86.908480847441311</v>
      </c>
      <c r="S77" s="346">
        <f t="shared" ref="S77:S140" si="42">IF(R77&gt;0,R77,R77+180)</f>
        <v>93.091519152558689</v>
      </c>
      <c r="U77" s="319">
        <f t="shared" si="23"/>
        <v>1000000000</v>
      </c>
      <c r="V77" s="319">
        <f t="shared" si="24"/>
        <v>131827.0864</v>
      </c>
      <c r="X77" s="345">
        <f t="shared" ref="X77:X140" si="43">20*LOG10((K77/(I77*M77))*AEA)</f>
        <v>29.330125924185214</v>
      </c>
      <c r="Y77" s="346">
        <f t="shared" ref="Y77:Y140" si="44">(L77-(J77+N77))*radconv</f>
        <v>-86.544273083168406</v>
      </c>
      <c r="AA77" s="345">
        <f t="shared" ref="AA77:AA140" si="45">20*LOG10((E77*G77/(C77*O77))*Acs*Am)</f>
        <v>32.939429907978052</v>
      </c>
      <c r="AB77" s="346">
        <f t="shared" ref="AB77:AB140" si="46">(F77+H77-(D77+P77))*radconv</f>
        <v>-0.36420776427289703</v>
      </c>
      <c r="AD77">
        <f t="shared" si="25"/>
        <v>0</v>
      </c>
      <c r="AE77">
        <f t="shared" ref="AE77:AE89" si="47">IF(AD77&gt;0,S75,0)</f>
        <v>0</v>
      </c>
    </row>
    <row r="78" spans="1:31" x14ac:dyDescent="0.2">
      <c r="A78" s="347">
        <v>398.11</v>
      </c>
      <c r="B78" s="364">
        <f t="shared" ref="B78:B141" si="48">A78/1000</f>
        <v>0.39811000000000002</v>
      </c>
      <c r="C78" s="337">
        <f t="shared" si="26"/>
        <v>1.0000204969054574</v>
      </c>
      <c r="D78" s="338">
        <f t="shared" si="27"/>
        <v>6.4025862525867458E-3</v>
      </c>
      <c r="E78" s="338">
        <f t="shared" si="28"/>
        <v>1.000000000276434</v>
      </c>
      <c r="F78" s="339">
        <f t="shared" si="29"/>
        <v>2.3513149653626978E-5</v>
      </c>
      <c r="G78" s="338">
        <f t="shared" si="30"/>
        <v>1</v>
      </c>
      <c r="H78" s="339">
        <f t="shared" si="31"/>
        <v>0</v>
      </c>
      <c r="I78" s="337">
        <f t="shared" si="32"/>
        <v>2881.6778930749338</v>
      </c>
      <c r="J78" s="340">
        <f t="shared" si="33"/>
        <v>1.5704493067402008</v>
      </c>
      <c r="K78" s="348">
        <f t="shared" si="34"/>
        <v>1.0021879668703964</v>
      </c>
      <c r="L78" s="349">
        <f t="shared" si="35"/>
        <v>6.6090619183944183E-2</v>
      </c>
      <c r="M78" s="337">
        <f t="shared" si="36"/>
        <v>1.0000000764852757</v>
      </c>
      <c r="N78" s="340">
        <f t="shared" si="37"/>
        <v>3.9111448632510158E-4</v>
      </c>
      <c r="O78" s="341">
        <f t="shared" si="38"/>
        <v>1.0000000307803825</v>
      </c>
      <c r="P78" s="342">
        <f t="shared" si="39"/>
        <v>5.908246953268936E-4</v>
      </c>
      <c r="Q78" s="343">
        <f t="shared" si="40"/>
        <v>23.254731617138823</v>
      </c>
      <c r="R78" s="344">
        <f t="shared" si="41"/>
        <v>-86.615158706636095</v>
      </c>
      <c r="S78" s="346">
        <f t="shared" si="42"/>
        <v>93.384841293363905</v>
      </c>
      <c r="U78" s="319">
        <f t="shared" ref="U78:U141" si="49">IF(Q78&lt;0,A78,1000000000)</f>
        <v>1000000000</v>
      </c>
      <c r="V78" s="319">
        <f t="shared" ref="V78:V141" si="50">A78^2</f>
        <v>158491.57210000002</v>
      </c>
      <c r="X78" s="345">
        <f t="shared" si="43"/>
        <v>28.533298718528254</v>
      </c>
      <c r="Y78" s="346">
        <f t="shared" si="44"/>
        <v>-86.215812978701962</v>
      </c>
      <c r="AA78" s="345">
        <f t="shared" si="45"/>
        <v>32.939399911956826</v>
      </c>
      <c r="AB78" s="346">
        <f t="shared" si="46"/>
        <v>-0.39934572793414258</v>
      </c>
      <c r="AD78">
        <f t="shared" ref="AD78:AD141" si="51">SUM((Q79&lt;0)*(Q78&gt;0))*A78</f>
        <v>0</v>
      </c>
      <c r="AE78">
        <f t="shared" si="47"/>
        <v>0</v>
      </c>
    </row>
    <row r="79" spans="1:31" x14ac:dyDescent="0.2">
      <c r="A79" s="347">
        <v>436.52</v>
      </c>
      <c r="B79" s="364">
        <f t="shared" si="48"/>
        <v>0.43651999999999996</v>
      </c>
      <c r="C79" s="337">
        <f t="shared" si="26"/>
        <v>1.0000246427696511</v>
      </c>
      <c r="D79" s="338">
        <f t="shared" si="27"/>
        <v>7.0202939549022106E-3</v>
      </c>
      <c r="E79" s="338">
        <f t="shared" si="28"/>
        <v>1.0000000003323484</v>
      </c>
      <c r="F79" s="339">
        <f t="shared" si="29"/>
        <v>2.5781718837554059E-5</v>
      </c>
      <c r="G79" s="338">
        <f t="shared" si="30"/>
        <v>1</v>
      </c>
      <c r="H79" s="339">
        <f t="shared" si="31"/>
        <v>0</v>
      </c>
      <c r="I79" s="337">
        <f t="shared" si="32"/>
        <v>3159.7046573621615</v>
      </c>
      <c r="J79" s="340">
        <f t="shared" si="33"/>
        <v>1.5704798415137917</v>
      </c>
      <c r="K79" s="348">
        <f t="shared" si="34"/>
        <v>1.0026299470349731</v>
      </c>
      <c r="L79" s="349">
        <f t="shared" si="35"/>
        <v>7.2445787863935115E-2</v>
      </c>
      <c r="M79" s="337">
        <f t="shared" si="36"/>
        <v>1.0000000919559746</v>
      </c>
      <c r="N79" s="340">
        <f t="shared" si="37"/>
        <v>4.2884954864174654E-4</v>
      </c>
      <c r="O79" s="341">
        <f t="shared" si="38"/>
        <v>1.0000000370063424</v>
      </c>
      <c r="P79" s="342">
        <f t="shared" si="39"/>
        <v>6.4782798079273123E-4</v>
      </c>
      <c r="Q79" s="343">
        <f t="shared" si="40"/>
        <v>22.458504074639482</v>
      </c>
      <c r="R79" s="344">
        <f t="shared" si="41"/>
        <v>-86.29347404882806</v>
      </c>
      <c r="S79" s="346">
        <f t="shared" si="42"/>
        <v>93.70652595117194</v>
      </c>
      <c r="U79" s="319">
        <f t="shared" si="49"/>
        <v>1000000000</v>
      </c>
      <c r="V79" s="319">
        <f t="shared" si="50"/>
        <v>190549.71039999998</v>
      </c>
      <c r="X79" s="345">
        <f t="shared" si="43"/>
        <v>27.737107239327358</v>
      </c>
      <c r="Y79" s="346">
        <f t="shared" si="44"/>
        <v>-85.855600208298711</v>
      </c>
      <c r="AA79" s="345">
        <f t="shared" si="45"/>
        <v>32.939363848658388</v>
      </c>
      <c r="AB79" s="346">
        <f t="shared" si="46"/>
        <v>-0.4378738405293664</v>
      </c>
      <c r="AD79">
        <f t="shared" si="51"/>
        <v>0</v>
      </c>
      <c r="AE79">
        <f t="shared" si="47"/>
        <v>0</v>
      </c>
    </row>
    <row r="80" spans="1:31" x14ac:dyDescent="0.2">
      <c r="A80" s="347">
        <v>478.63</v>
      </c>
      <c r="B80" s="364">
        <f t="shared" si="48"/>
        <v>0.47863</v>
      </c>
      <c r="C80" s="337">
        <f t="shared" si="26"/>
        <v>1.0000296264745299</v>
      </c>
      <c r="D80" s="338">
        <f t="shared" si="27"/>
        <v>7.6974986987239039E-3</v>
      </c>
      <c r="E80" s="338">
        <f t="shared" si="28"/>
        <v>1.000000000399563</v>
      </c>
      <c r="F80" s="339">
        <f t="shared" si="29"/>
        <v>2.8268817205776486E-5</v>
      </c>
      <c r="G80" s="338">
        <f t="shared" si="30"/>
        <v>1</v>
      </c>
      <c r="H80" s="339">
        <f t="shared" si="31"/>
        <v>0</v>
      </c>
      <c r="I80" s="337">
        <f t="shared" si="32"/>
        <v>3464.5134871536739</v>
      </c>
      <c r="J80" s="340">
        <f t="shared" si="33"/>
        <v>1.5705076859748814</v>
      </c>
      <c r="K80" s="348">
        <f t="shared" si="34"/>
        <v>1.0031609919758684</v>
      </c>
      <c r="L80" s="349">
        <f t="shared" si="35"/>
        <v>7.9406395404502061E-2</v>
      </c>
      <c r="M80" s="337">
        <f t="shared" si="36"/>
        <v>1.0000001105532432</v>
      </c>
      <c r="N80" s="340">
        <f t="shared" si="37"/>
        <v>4.7021959342423241E-4</v>
      </c>
      <c r="O80" s="341">
        <f t="shared" si="38"/>
        <v>1.0000000444905459</v>
      </c>
      <c r="P80" s="342">
        <f t="shared" si="39"/>
        <v>7.103223415020752E-4</v>
      </c>
      <c r="Q80" s="343">
        <f t="shared" si="40"/>
        <v>21.663144521939415</v>
      </c>
      <c r="R80" s="344">
        <f t="shared" si="41"/>
        <v>-85.940865449130797</v>
      </c>
      <c r="S80" s="346">
        <f t="shared" si="42"/>
        <v>94.059134550869203</v>
      </c>
      <c r="U80" s="319">
        <f t="shared" si="49"/>
        <v>1000000000</v>
      </c>
      <c r="V80" s="319">
        <f t="shared" si="50"/>
        <v>229086.67689999999</v>
      </c>
      <c r="X80" s="345">
        <f t="shared" si="43"/>
        <v>26.94179103778643</v>
      </c>
      <c r="Y80" s="346">
        <f t="shared" si="44"/>
        <v>-85.460752471993658</v>
      </c>
      <c r="AA80" s="345">
        <f t="shared" si="45"/>
        <v>32.939320497499246</v>
      </c>
      <c r="AB80" s="346">
        <f t="shared" si="46"/>
        <v>-0.48011297713713341</v>
      </c>
      <c r="AD80">
        <f t="shared" si="51"/>
        <v>0</v>
      </c>
      <c r="AE80">
        <f t="shared" si="47"/>
        <v>0</v>
      </c>
    </row>
    <row r="81" spans="1:31" x14ac:dyDescent="0.2">
      <c r="A81" s="347">
        <v>524.80999999999995</v>
      </c>
      <c r="B81" s="364">
        <f t="shared" si="48"/>
        <v>0.52481</v>
      </c>
      <c r="C81" s="337">
        <f t="shared" si="26"/>
        <v>1.0000356191084152</v>
      </c>
      <c r="D81" s="338">
        <f t="shared" si="27"/>
        <v>8.4401482427689418E-3</v>
      </c>
      <c r="E81" s="338">
        <f t="shared" si="28"/>
        <v>1.0000000004803853</v>
      </c>
      <c r="F81" s="339">
        <f t="shared" si="29"/>
        <v>3.099629767662742E-5</v>
      </c>
      <c r="G81" s="338">
        <f t="shared" si="30"/>
        <v>1</v>
      </c>
      <c r="H81" s="339">
        <f t="shared" si="31"/>
        <v>0</v>
      </c>
      <c r="I81" s="337">
        <f t="shared" si="32"/>
        <v>3798.7825887431627</v>
      </c>
      <c r="J81" s="340">
        <f t="shared" si="33"/>
        <v>1.5705330845618422</v>
      </c>
      <c r="K81" s="348">
        <f t="shared" si="34"/>
        <v>1.0037991761057041</v>
      </c>
      <c r="L81" s="349">
        <f t="shared" si="35"/>
        <v>8.7030877922500999E-2</v>
      </c>
      <c r="M81" s="337">
        <f t="shared" si="36"/>
        <v>1.0000001329155688</v>
      </c>
      <c r="N81" s="340">
        <f t="shared" si="37"/>
        <v>5.1558811847561255E-4</v>
      </c>
      <c r="O81" s="341">
        <f t="shared" si="38"/>
        <v>1.0000000534899445</v>
      </c>
      <c r="P81" s="342">
        <f t="shared" si="39"/>
        <v>7.788568853392897E-4</v>
      </c>
      <c r="Q81" s="343">
        <f t="shared" si="40"/>
        <v>20.868572524911386</v>
      </c>
      <c r="R81" s="344">
        <f t="shared" si="41"/>
        <v>-85.554390587807319</v>
      </c>
      <c r="S81" s="346">
        <f t="shared" si="42"/>
        <v>94.445609412192681</v>
      </c>
      <c r="U81" s="319">
        <f t="shared" si="49"/>
        <v>1000000000</v>
      </c>
      <c r="V81" s="319">
        <f t="shared" si="50"/>
        <v>275425.53609999997</v>
      </c>
      <c r="X81" s="345">
        <f t="shared" si="43"/>
        <v>26.147271167882732</v>
      </c>
      <c r="Y81" s="346">
        <f t="shared" si="44"/>
        <v>-85.027956459093119</v>
      </c>
      <c r="AA81" s="345">
        <f t="shared" si="45"/>
        <v>32.939268370374919</v>
      </c>
      <c r="AB81" s="346">
        <f t="shared" si="46"/>
        <v>-0.52643412871420114</v>
      </c>
      <c r="AD81">
        <f t="shared" si="51"/>
        <v>0</v>
      </c>
      <c r="AE81">
        <f t="shared" si="47"/>
        <v>0</v>
      </c>
    </row>
    <row r="82" spans="1:31" x14ac:dyDescent="0.2">
      <c r="A82" s="347">
        <v>575.44000000000005</v>
      </c>
      <c r="B82" s="364">
        <f t="shared" si="48"/>
        <v>0.57544000000000006</v>
      </c>
      <c r="C82" s="337">
        <f t="shared" si="26"/>
        <v>1.0000428230278455</v>
      </c>
      <c r="D82" s="338">
        <f t="shared" si="27"/>
        <v>9.254350298623315E-3</v>
      </c>
      <c r="E82" s="338">
        <f t="shared" si="28"/>
        <v>1.0000000005775445</v>
      </c>
      <c r="F82" s="339">
        <f t="shared" si="29"/>
        <v>3.3986603787814955E-5</v>
      </c>
      <c r="G82" s="338">
        <f t="shared" si="30"/>
        <v>1</v>
      </c>
      <c r="H82" s="339">
        <f t="shared" si="31"/>
        <v>0</v>
      </c>
      <c r="I82" s="337">
        <f t="shared" si="32"/>
        <v>4165.262552399422</v>
      </c>
      <c r="J82" s="340">
        <f t="shared" si="33"/>
        <v>1.5705562458883449</v>
      </c>
      <c r="K82" s="348">
        <f t="shared" si="34"/>
        <v>1.0045658242269144</v>
      </c>
      <c r="L82" s="349">
        <f t="shared" si="35"/>
        <v>9.537839747006889E-2</v>
      </c>
      <c r="M82" s="337">
        <f t="shared" si="36"/>
        <v>1.0000001597981469</v>
      </c>
      <c r="N82" s="340">
        <f t="shared" si="37"/>
        <v>5.6532844568207895E-4</v>
      </c>
      <c r="O82" s="341">
        <f t="shared" si="38"/>
        <v>1.0000000643084568</v>
      </c>
      <c r="P82" s="342">
        <f t="shared" si="39"/>
        <v>8.5399556108994618E-4</v>
      </c>
      <c r="Q82" s="343">
        <f t="shared" si="40"/>
        <v>20.075182053350588</v>
      </c>
      <c r="R82" s="344">
        <f t="shared" si="41"/>
        <v>-85.131074043472509</v>
      </c>
      <c r="S82" s="346">
        <f t="shared" si="42"/>
        <v>94.868925956527491</v>
      </c>
      <c r="U82" s="319">
        <f t="shared" si="49"/>
        <v>1000000000</v>
      </c>
      <c r="V82" s="319">
        <f t="shared" si="50"/>
        <v>331131.19360000006</v>
      </c>
      <c r="X82" s="345">
        <f t="shared" si="43"/>
        <v>25.353943359441491</v>
      </c>
      <c r="Y82" s="346">
        <f t="shared" si="44"/>
        <v>-84.553855776149859</v>
      </c>
      <c r="AA82" s="345">
        <f t="shared" si="45"/>
        <v>32.939205707255361</v>
      </c>
      <c r="AB82" s="346">
        <f t="shared" si="46"/>
        <v>-0.57721826732265247</v>
      </c>
      <c r="AD82">
        <f t="shared" si="51"/>
        <v>0</v>
      </c>
      <c r="AE82">
        <f t="shared" si="47"/>
        <v>0</v>
      </c>
    </row>
    <row r="83" spans="1:31" x14ac:dyDescent="0.2">
      <c r="A83" s="347">
        <v>630.96</v>
      </c>
      <c r="B83" s="364">
        <f t="shared" si="48"/>
        <v>0.63096000000000008</v>
      </c>
      <c r="C83" s="337">
        <f t="shared" si="26"/>
        <v>1.000051484802547</v>
      </c>
      <c r="D83" s="338">
        <f t="shared" si="27"/>
        <v>1.0147176330390551E-2</v>
      </c>
      <c r="E83" s="338">
        <f t="shared" si="28"/>
        <v>1.000000000694367</v>
      </c>
      <c r="F83" s="339">
        <f t="shared" si="29"/>
        <v>3.7265722793496479E-5</v>
      </c>
      <c r="G83" s="338">
        <f t="shared" si="30"/>
        <v>1</v>
      </c>
      <c r="H83" s="339">
        <f t="shared" si="31"/>
        <v>0</v>
      </c>
      <c r="I83" s="337">
        <f t="shared" si="32"/>
        <v>4567.1382721379969</v>
      </c>
      <c r="J83" s="340">
        <f t="shared" si="33"/>
        <v>1.5705773713027691</v>
      </c>
      <c r="K83" s="348">
        <f t="shared" si="34"/>
        <v>1.0054868520768059</v>
      </c>
      <c r="L83" s="349">
        <f t="shared" si="35"/>
        <v>0.10451680274812583</v>
      </c>
      <c r="M83" s="337">
        <f t="shared" si="36"/>
        <v>1.0000001921212012</v>
      </c>
      <c r="N83" s="340">
        <f t="shared" si="37"/>
        <v>6.1987284234872662E-4</v>
      </c>
      <c r="O83" s="341">
        <f t="shared" si="38"/>
        <v>1.0000000773164148</v>
      </c>
      <c r="P83" s="342">
        <f t="shared" si="39"/>
        <v>9.3639136220002698E-4</v>
      </c>
      <c r="Q83" s="343">
        <f t="shared" si="40"/>
        <v>19.28303079804391</v>
      </c>
      <c r="R83" s="344">
        <f t="shared" si="41"/>
        <v>-84.667505765275465</v>
      </c>
      <c r="S83" s="346">
        <f t="shared" si="42"/>
        <v>95.332494234724535</v>
      </c>
      <c r="U83" s="319">
        <f t="shared" si="49"/>
        <v>1000000000</v>
      </c>
      <c r="V83" s="319">
        <f t="shared" si="50"/>
        <v>398110.52160000004</v>
      </c>
      <c r="X83" s="345">
        <f t="shared" si="43"/>
        <v>24.561867447777445</v>
      </c>
      <c r="Y83" s="346">
        <f t="shared" si="44"/>
        <v>-84.034599282455844</v>
      </c>
      <c r="AA83" s="345">
        <f t="shared" si="45"/>
        <v>32.939130363612726</v>
      </c>
      <c r="AB83" s="346">
        <f t="shared" si="46"/>
        <v>-0.63290648281962159</v>
      </c>
      <c r="AD83">
        <f t="shared" si="51"/>
        <v>0</v>
      </c>
      <c r="AE83">
        <f t="shared" si="47"/>
        <v>0</v>
      </c>
    </row>
    <row r="84" spans="1:31" x14ac:dyDescent="0.2">
      <c r="A84" s="347">
        <v>691.83</v>
      </c>
      <c r="B84" s="364">
        <f t="shared" si="48"/>
        <v>0.69183000000000006</v>
      </c>
      <c r="C84" s="337">
        <f t="shared" si="26"/>
        <v>1.000061897330023</v>
      </c>
      <c r="D84" s="338">
        <f t="shared" si="27"/>
        <v>1.1126017927254542E-2</v>
      </c>
      <c r="E84" s="338">
        <f t="shared" si="28"/>
        <v>1.0000000008348033</v>
      </c>
      <c r="F84" s="339">
        <f t="shared" si="29"/>
        <v>4.0860823186590099E-5</v>
      </c>
      <c r="G84" s="338">
        <f t="shared" si="30"/>
        <v>1</v>
      </c>
      <c r="H84" s="339">
        <f t="shared" si="31"/>
        <v>0</v>
      </c>
      <c r="I84" s="337">
        <f t="shared" si="32"/>
        <v>5007.7394099019393</v>
      </c>
      <c r="J84" s="340">
        <f t="shared" si="33"/>
        <v>1.5705966358915184</v>
      </c>
      <c r="K84" s="348">
        <f t="shared" si="34"/>
        <v>1.0065929368701505</v>
      </c>
      <c r="L84" s="349">
        <f t="shared" si="35"/>
        <v>0.11451565086156669</v>
      </c>
      <c r="M84" s="337">
        <f t="shared" si="36"/>
        <v>1.0000002309778901</v>
      </c>
      <c r="N84" s="340">
        <f t="shared" si="37"/>
        <v>6.7967322399689568E-4</v>
      </c>
      <c r="O84" s="341">
        <f t="shared" si="38"/>
        <v>1.0000000929537474</v>
      </c>
      <c r="P84" s="342">
        <f t="shared" si="39"/>
        <v>1.0267269638773674E-3</v>
      </c>
      <c r="Q84" s="343">
        <f t="shared" si="40"/>
        <v>18.492538322730425</v>
      </c>
      <c r="R84" s="344">
        <f t="shared" si="41"/>
        <v>-84.160197413862946</v>
      </c>
      <c r="S84" s="346">
        <f t="shared" si="42"/>
        <v>95.839802586137054</v>
      </c>
      <c r="U84" s="319">
        <f t="shared" si="49"/>
        <v>1000000000</v>
      </c>
      <c r="V84" s="319">
        <f t="shared" si="50"/>
        <v>478628.74890000006</v>
      </c>
      <c r="X84" s="345">
        <f t="shared" si="43"/>
        <v>23.771465544005821</v>
      </c>
      <c r="Y84" s="346">
        <f t="shared" si="44"/>
        <v>-83.466237574024973</v>
      </c>
      <c r="AA84" s="345">
        <f t="shared" si="45"/>
        <v>32.939039792070865</v>
      </c>
      <c r="AB84" s="346">
        <f t="shared" si="46"/>
        <v>-0.69395983983797427</v>
      </c>
      <c r="AD84">
        <f t="shared" si="51"/>
        <v>0</v>
      </c>
      <c r="AE84">
        <f t="shared" si="47"/>
        <v>0</v>
      </c>
    </row>
    <row r="85" spans="1:31" x14ac:dyDescent="0.2">
      <c r="A85" s="347">
        <v>758.58</v>
      </c>
      <c r="B85" s="364">
        <f t="shared" si="48"/>
        <v>0.75858000000000003</v>
      </c>
      <c r="C85" s="337">
        <f t="shared" si="26"/>
        <v>1.0000744171773124</v>
      </c>
      <c r="D85" s="338">
        <f t="shared" si="27"/>
        <v>1.219939036797394E-2</v>
      </c>
      <c r="E85" s="338">
        <f t="shared" si="28"/>
        <v>1.0000000010036636</v>
      </c>
      <c r="F85" s="339">
        <f t="shared" si="29"/>
        <v>4.4803207795837365E-5</v>
      </c>
      <c r="G85" s="338">
        <f t="shared" si="30"/>
        <v>1</v>
      </c>
      <c r="H85" s="339">
        <f t="shared" si="31"/>
        <v>0</v>
      </c>
      <c r="I85" s="337">
        <f t="shared" si="32"/>
        <v>5490.902315338295</v>
      </c>
      <c r="J85" s="340">
        <f t="shared" si="33"/>
        <v>1.5706142073638636</v>
      </c>
      <c r="K85" s="348">
        <f t="shared" si="34"/>
        <v>1.0079212826294812</v>
      </c>
      <c r="L85" s="349">
        <f t="shared" si="35"/>
        <v>0.12545393356794177</v>
      </c>
      <c r="M85" s="337">
        <f t="shared" si="36"/>
        <v>1.0000002776990509</v>
      </c>
      <c r="N85" s="340">
        <f t="shared" si="37"/>
        <v>7.4525027564628307E-4</v>
      </c>
      <c r="O85" s="341">
        <f t="shared" si="38"/>
        <v>1.0000001117560344</v>
      </c>
      <c r="P85" s="342">
        <f t="shared" si="39"/>
        <v>1.1257889268944114E-3</v>
      </c>
      <c r="Q85" s="343">
        <f t="shared" si="40"/>
        <v>17.703843827388209</v>
      </c>
      <c r="R85" s="344">
        <f t="shared" si="41"/>
        <v>-83.605193699620884</v>
      </c>
      <c r="S85" s="346">
        <f t="shared" si="42"/>
        <v>96.394806300379116</v>
      </c>
      <c r="U85" s="319">
        <f t="shared" si="49"/>
        <v>1000000000</v>
      </c>
      <c r="V85" s="319">
        <f t="shared" si="50"/>
        <v>575443.61640000006</v>
      </c>
      <c r="X85" s="345">
        <f t="shared" si="43"/>
        <v>22.982879949111993</v>
      </c>
      <c r="Y85" s="346">
        <f t="shared" si="44"/>
        <v>-82.844284198615696</v>
      </c>
      <c r="AA85" s="345">
        <f t="shared" si="45"/>
        <v>32.938930891622476</v>
      </c>
      <c r="AB85" s="346">
        <f t="shared" si="46"/>
        <v>-0.76090950100518351</v>
      </c>
      <c r="AD85">
        <f t="shared" si="51"/>
        <v>0</v>
      </c>
      <c r="AE85">
        <f t="shared" si="47"/>
        <v>0</v>
      </c>
    </row>
    <row r="86" spans="1:31" x14ac:dyDescent="0.2">
      <c r="A86" s="347">
        <v>831.76</v>
      </c>
      <c r="B86" s="364">
        <f t="shared" si="48"/>
        <v>0.83175999999999994</v>
      </c>
      <c r="C86" s="337">
        <f t="shared" si="26"/>
        <v>1.0000894670691076</v>
      </c>
      <c r="D86" s="338">
        <f t="shared" si="27"/>
        <v>1.3376127938970745E-2</v>
      </c>
      <c r="E86" s="338">
        <f t="shared" si="28"/>
        <v>1.0000000012066506</v>
      </c>
      <c r="F86" s="339">
        <f t="shared" si="29"/>
        <v>4.9125360688685111E-5</v>
      </c>
      <c r="G86" s="338">
        <f t="shared" si="30"/>
        <v>1</v>
      </c>
      <c r="H86" s="339">
        <f t="shared" si="31"/>
        <v>0</v>
      </c>
      <c r="I86" s="337">
        <f t="shared" si="32"/>
        <v>6020.608106019894</v>
      </c>
      <c r="J86" s="340">
        <f t="shared" si="33"/>
        <v>1.5706302306154096</v>
      </c>
      <c r="K86" s="348">
        <f t="shared" si="34"/>
        <v>1.0095157726648432</v>
      </c>
      <c r="L86" s="349">
        <f t="shared" si="35"/>
        <v>0.13741122288715388</v>
      </c>
      <c r="M86" s="337">
        <f t="shared" si="36"/>
        <v>1.0000003338625212</v>
      </c>
      <c r="N86" s="340">
        <f t="shared" si="37"/>
        <v>8.1714433027790725E-4</v>
      </c>
      <c r="O86" s="341">
        <f t="shared" si="38"/>
        <v>1.0000001343582601</v>
      </c>
      <c r="P86" s="342">
        <f t="shared" si="39"/>
        <v>1.2343934939923766E-3</v>
      </c>
      <c r="Q86" s="343">
        <f t="shared" si="40"/>
        <v>16.91750946856785</v>
      </c>
      <c r="R86" s="344">
        <f t="shared" si="41"/>
        <v>-82.998525815734084</v>
      </c>
      <c r="S86" s="346">
        <f t="shared" si="42"/>
        <v>97.001474184265916</v>
      </c>
      <c r="U86" s="319">
        <f t="shared" si="49"/>
        <v>1000000000</v>
      </c>
      <c r="V86" s="319">
        <f t="shared" si="50"/>
        <v>691824.69759999996</v>
      </c>
      <c r="X86" s="345">
        <f t="shared" si="43"/>
        <v>22.196676495837391</v>
      </c>
      <c r="Y86" s="346">
        <f t="shared" si="44"/>
        <v>-82.164219276021043</v>
      </c>
      <c r="AA86" s="345">
        <f t="shared" si="45"/>
        <v>32.938799986076717</v>
      </c>
      <c r="AB86" s="346">
        <f t="shared" si="46"/>
        <v>-0.83430653971303326</v>
      </c>
      <c r="AD86">
        <f t="shared" si="51"/>
        <v>0</v>
      </c>
      <c r="AE86">
        <f t="shared" si="47"/>
        <v>0</v>
      </c>
    </row>
    <row r="87" spans="1:31" x14ac:dyDescent="0.2">
      <c r="A87" s="347">
        <v>912.01</v>
      </c>
      <c r="B87" s="364">
        <f t="shared" si="48"/>
        <v>0.91200999999999999</v>
      </c>
      <c r="C87" s="337">
        <f t="shared" si="26"/>
        <v>1.0001075628794516</v>
      </c>
      <c r="D87" s="338">
        <f t="shared" si="27"/>
        <v>1.4666508709226605E-2</v>
      </c>
      <c r="E87" s="338">
        <f t="shared" si="28"/>
        <v>1.0000000014507235</v>
      </c>
      <c r="F87" s="339">
        <f t="shared" si="29"/>
        <v>5.3865081507162639E-5</v>
      </c>
      <c r="G87" s="338">
        <f t="shared" si="30"/>
        <v>1</v>
      </c>
      <c r="H87" s="339">
        <f t="shared" si="31"/>
        <v>0</v>
      </c>
      <c r="I87" s="337">
        <f t="shared" si="32"/>
        <v>6601.4893551366031</v>
      </c>
      <c r="J87" s="340">
        <f t="shared" si="33"/>
        <v>1.5706448458259776</v>
      </c>
      <c r="K87" s="348">
        <f t="shared" si="34"/>
        <v>1.0114296718976916</v>
      </c>
      <c r="L87" s="349">
        <f t="shared" si="35"/>
        <v>0.15047829563963011</v>
      </c>
      <c r="M87" s="337">
        <f t="shared" si="36"/>
        <v>1.0000004013939225</v>
      </c>
      <c r="N87" s="340">
        <f t="shared" si="37"/>
        <v>8.9598413857986889E-4</v>
      </c>
      <c r="O87" s="341">
        <f t="shared" si="38"/>
        <v>1.0000001615353706</v>
      </c>
      <c r="P87" s="342">
        <f t="shared" si="39"/>
        <v>1.3534904752450444E-3</v>
      </c>
      <c r="Q87" s="343">
        <f t="shared" si="40"/>
        <v>16.133771747847202</v>
      </c>
      <c r="R87" s="344">
        <f t="shared" si="41"/>
        <v>-82.335677834305002</v>
      </c>
      <c r="S87" s="346">
        <f t="shared" si="42"/>
        <v>97.664322165694998</v>
      </c>
      <c r="U87" s="319">
        <f t="shared" si="49"/>
        <v>1000000000</v>
      </c>
      <c r="V87" s="319">
        <f t="shared" si="50"/>
        <v>831762.24009999994</v>
      </c>
      <c r="X87" s="345">
        <f t="shared" si="43"/>
        <v>21.413096171782779</v>
      </c>
      <c r="Y87" s="346">
        <f t="shared" si="44"/>
        <v>-81.420885734019947</v>
      </c>
      <c r="AA87" s="345">
        <f t="shared" si="45"/>
        <v>32.938642589410676</v>
      </c>
      <c r="AB87" s="346">
        <f t="shared" si="46"/>
        <v>-0.91479210028505997</v>
      </c>
      <c r="AD87">
        <f t="shared" si="51"/>
        <v>0</v>
      </c>
      <c r="AE87">
        <f t="shared" si="47"/>
        <v>0</v>
      </c>
    </row>
    <row r="88" spans="1:31" x14ac:dyDescent="0.2">
      <c r="A88" s="347">
        <v>1000</v>
      </c>
      <c r="B88" s="364">
        <f t="shared" si="48"/>
        <v>1</v>
      </c>
      <c r="C88" s="337">
        <f t="shared" si="26"/>
        <v>1.0001293178559059</v>
      </c>
      <c r="D88" s="338">
        <f t="shared" si="27"/>
        <v>1.608128860013391E-2</v>
      </c>
      <c r="E88" s="338">
        <f t="shared" si="28"/>
        <v>1.0000000017441564</v>
      </c>
      <c r="F88" s="339">
        <f t="shared" si="29"/>
        <v>5.9061941751324489E-5</v>
      </c>
      <c r="G88" s="338">
        <f t="shared" si="30"/>
        <v>1</v>
      </c>
      <c r="H88" s="339">
        <f t="shared" si="31"/>
        <v>0</v>
      </c>
      <c r="I88" s="337">
        <f t="shared" si="32"/>
        <v>7238.3957877591183</v>
      </c>
      <c r="J88" s="340">
        <f t="shared" si="33"/>
        <v>1.5706581746362551</v>
      </c>
      <c r="K88" s="348">
        <f t="shared" si="34"/>
        <v>1.013725844407471</v>
      </c>
      <c r="L88" s="349">
        <f t="shared" si="35"/>
        <v>0.16474624475339464</v>
      </c>
      <c r="M88" s="337">
        <f t="shared" si="36"/>
        <v>1.0000004825825062</v>
      </c>
      <c r="N88" s="340">
        <f t="shared" si="37"/>
        <v>9.8242792303165232E-4</v>
      </c>
      <c r="O88" s="341">
        <f t="shared" si="38"/>
        <v>1.0000001942086545</v>
      </c>
      <c r="P88" s="342">
        <f t="shared" si="39"/>
        <v>1.4840742038015975E-3</v>
      </c>
      <c r="Q88" s="343">
        <f t="shared" si="40"/>
        <v>15.353270416139857</v>
      </c>
      <c r="R88" s="344">
        <f t="shared" si="41"/>
        <v>-81.61214617059079</v>
      </c>
      <c r="S88" s="346">
        <f t="shared" si="42"/>
        <v>98.38785382940921</v>
      </c>
      <c r="U88" s="319">
        <f t="shared" si="49"/>
        <v>1000000000</v>
      </c>
      <c r="V88" s="319">
        <f t="shared" si="50"/>
        <v>1000000</v>
      </c>
      <c r="X88" s="345">
        <f t="shared" si="43"/>
        <v>20.632784060269771</v>
      </c>
      <c r="Y88" s="346">
        <f t="shared" si="44"/>
        <v>-80.609109015155269</v>
      </c>
      <c r="AA88" s="345">
        <f t="shared" si="45"/>
        <v>32.938453369216354</v>
      </c>
      <c r="AB88" s="346">
        <f t="shared" si="46"/>
        <v>-1.0030371554355249</v>
      </c>
      <c r="AD88">
        <f t="shared" si="51"/>
        <v>0</v>
      </c>
      <c r="AE88">
        <f t="shared" si="47"/>
        <v>0</v>
      </c>
    </row>
    <row r="89" spans="1:31" x14ac:dyDescent="0.2">
      <c r="A89" s="347">
        <v>1096.5</v>
      </c>
      <c r="B89" s="364">
        <f t="shared" si="48"/>
        <v>1.0965</v>
      </c>
      <c r="C89" s="337">
        <f t="shared" si="26"/>
        <v>1.0001554784087303</v>
      </c>
      <c r="D89" s="338">
        <f t="shared" si="27"/>
        <v>1.7632825456500696E-2</v>
      </c>
      <c r="E89" s="338">
        <f t="shared" si="28"/>
        <v>1.0000000020970206</v>
      </c>
      <c r="F89" s="339">
        <f t="shared" si="29"/>
        <v>6.4761419115092646E-5</v>
      </c>
      <c r="G89" s="338">
        <f t="shared" si="30"/>
        <v>1</v>
      </c>
      <c r="H89" s="339">
        <f t="shared" si="31"/>
        <v>0</v>
      </c>
      <c r="I89" s="337">
        <f t="shared" si="32"/>
        <v>7936.9009685328328</v>
      </c>
      <c r="J89" s="340">
        <f t="shared" si="33"/>
        <v>1.5706703330340308</v>
      </c>
      <c r="K89" s="348">
        <f t="shared" si="34"/>
        <v>1.0164802093184928</v>
      </c>
      <c r="L89" s="349">
        <f t="shared" si="35"/>
        <v>0.18031647815710253</v>
      </c>
      <c r="M89" s="337">
        <f t="shared" si="36"/>
        <v>1.0000005802148302</v>
      </c>
      <c r="N89" s="340">
        <f t="shared" si="37"/>
        <v>1.077232147489113E-3</v>
      </c>
      <c r="O89" s="341">
        <f t="shared" si="38"/>
        <v>1.0000002334995399</v>
      </c>
      <c r="P89" s="342">
        <f t="shared" si="39"/>
        <v>1.6272874213809083E-3</v>
      </c>
      <c r="Q89" s="343">
        <f t="shared" si="40"/>
        <v>14.576437501819907</v>
      </c>
      <c r="R89" s="344">
        <f t="shared" si="41"/>
        <v>-80.822941487010766</v>
      </c>
      <c r="S89" s="346">
        <f t="shared" si="42"/>
        <v>99.177058512989234</v>
      </c>
      <c r="U89" s="319">
        <f t="shared" si="49"/>
        <v>1000000000</v>
      </c>
      <c r="V89" s="319">
        <f t="shared" si="50"/>
        <v>1202312.25</v>
      </c>
      <c r="X89" s="345">
        <f t="shared" si="43"/>
        <v>19.85617867948363</v>
      </c>
      <c r="Y89" s="346">
        <f t="shared" si="44"/>
        <v>-79.723128860896423</v>
      </c>
      <c r="AA89" s="345">
        <f t="shared" si="45"/>
        <v>32.938225835682537</v>
      </c>
      <c r="AB89" s="346">
        <f t="shared" si="46"/>
        <v>-1.0998126261143282</v>
      </c>
      <c r="AD89">
        <f t="shared" si="51"/>
        <v>0</v>
      </c>
      <c r="AE89">
        <f t="shared" si="47"/>
        <v>0</v>
      </c>
    </row>
    <row r="90" spans="1:31" x14ac:dyDescent="0.2">
      <c r="A90" s="347">
        <v>1202.3</v>
      </c>
      <c r="B90" s="364">
        <f t="shared" si="48"/>
        <v>1.2022999999999999</v>
      </c>
      <c r="C90" s="337">
        <f t="shared" si="26"/>
        <v>1.0001869268471753</v>
      </c>
      <c r="D90" s="338">
        <f t="shared" si="27"/>
        <v>1.9333790822317946E-2</v>
      </c>
      <c r="E90" s="338">
        <f t="shared" si="28"/>
        <v>1.0000000025212223</v>
      </c>
      <c r="F90" s="339">
        <f t="shared" si="29"/>
        <v>7.1010172530831052E-5</v>
      </c>
      <c r="G90" s="338">
        <f t="shared" si="30"/>
        <v>1</v>
      </c>
      <c r="H90" s="339">
        <f t="shared" si="31"/>
        <v>0</v>
      </c>
      <c r="I90" s="337">
        <f t="shared" si="32"/>
        <v>8702.7232300258984</v>
      </c>
      <c r="J90" s="340">
        <f t="shared" si="33"/>
        <v>1.5706814202333792</v>
      </c>
      <c r="K90" s="348">
        <f t="shared" si="34"/>
        <v>1.01978156762711</v>
      </c>
      <c r="L90" s="349">
        <f t="shared" si="35"/>
        <v>0.19728602065886169</v>
      </c>
      <c r="M90" s="337">
        <f t="shared" si="36"/>
        <v>1.0000006975851421</v>
      </c>
      <c r="N90" s="340">
        <f t="shared" si="37"/>
        <v>1.1811729225574886E-3</v>
      </c>
      <c r="O90" s="341">
        <f t="shared" si="38"/>
        <v>1.0000002807337744</v>
      </c>
      <c r="P90" s="342">
        <f t="shared" si="39"/>
        <v>1.7843025526543483E-3</v>
      </c>
      <c r="Q90" s="343">
        <f t="shared" si="40"/>
        <v>13.804243364224638</v>
      </c>
      <c r="R90" s="344">
        <f t="shared" si="41"/>
        <v>-79.963345351572841</v>
      </c>
      <c r="S90" s="346">
        <f t="shared" si="42"/>
        <v>100.03665464842716</v>
      </c>
      <c r="U90" s="319">
        <f t="shared" si="49"/>
        <v>1000000000</v>
      </c>
      <c r="V90" s="319">
        <f t="shared" si="50"/>
        <v>1445525.2899999998</v>
      </c>
      <c r="X90" s="345">
        <f t="shared" si="43"/>
        <v>19.084258059383373</v>
      </c>
      <c r="Y90" s="346">
        <f t="shared" si="44"/>
        <v>-78.757436311634308</v>
      </c>
      <c r="AA90" s="345">
        <f t="shared" si="45"/>
        <v>32.937952318187527</v>
      </c>
      <c r="AB90" s="346">
        <f t="shared" si="46"/>
        <v>-1.2059090399385366</v>
      </c>
      <c r="AD90">
        <f t="shared" si="51"/>
        <v>0</v>
      </c>
      <c r="AE90">
        <f t="shared" ref="AE90:AE153" si="52">IF(AD90&gt;0,S90,0)</f>
        <v>0</v>
      </c>
    </row>
    <row r="91" spans="1:31" x14ac:dyDescent="0.2">
      <c r="A91" s="347">
        <v>1318.3</v>
      </c>
      <c r="B91" s="364">
        <f t="shared" si="48"/>
        <v>1.3183</v>
      </c>
      <c r="C91" s="337">
        <f t="shared" si="26"/>
        <v>1.0002247327065963</v>
      </c>
      <c r="D91" s="338">
        <f t="shared" si="27"/>
        <v>2.1198614451951779E-2</v>
      </c>
      <c r="E91" s="338">
        <f t="shared" si="28"/>
        <v>1.0000000030311955</v>
      </c>
      <c r="F91" s="339">
        <f t="shared" si="29"/>
        <v>7.7861357743964015E-5</v>
      </c>
      <c r="G91" s="338">
        <f t="shared" si="30"/>
        <v>1</v>
      </c>
      <c r="H91" s="339">
        <f t="shared" si="31"/>
        <v>0</v>
      </c>
      <c r="I91" s="337">
        <f t="shared" si="32"/>
        <v>9542.3771283376955</v>
      </c>
      <c r="J91" s="340">
        <f t="shared" si="33"/>
        <v>1.5706915311042231</v>
      </c>
      <c r="K91" s="348">
        <f t="shared" si="34"/>
        <v>1.0237363526978405</v>
      </c>
      <c r="L91" s="349">
        <f t="shared" si="35"/>
        <v>0.21575985806294187</v>
      </c>
      <c r="M91" s="337">
        <f t="shared" si="36"/>
        <v>1.0000008386871737</v>
      </c>
      <c r="N91" s="340">
        <f t="shared" si="37"/>
        <v>1.2951344234637975E-3</v>
      </c>
      <c r="O91" s="341">
        <f t="shared" si="38"/>
        <v>1.0000003375186157</v>
      </c>
      <c r="P91" s="342">
        <f t="shared" si="39"/>
        <v>1.9564552724441664E-3</v>
      </c>
      <c r="Q91" s="343">
        <f t="shared" si="40"/>
        <v>13.037504597638174</v>
      </c>
      <c r="R91" s="344">
        <f t="shared" si="41"/>
        <v>-79.028298862887738</v>
      </c>
      <c r="S91" s="346">
        <f t="shared" si="42"/>
        <v>100.97170113711226</v>
      </c>
      <c r="U91" s="319">
        <f t="shared" si="49"/>
        <v>1000000000</v>
      </c>
      <c r="V91" s="319">
        <f t="shared" si="50"/>
        <v>1737914.89</v>
      </c>
      <c r="X91" s="345">
        <f t="shared" si="43"/>
        <v>18.317848091540728</v>
      </c>
      <c r="Y91" s="346">
        <f t="shared" si="44"/>
        <v>-77.70607221902371</v>
      </c>
      <c r="AA91" s="345">
        <f t="shared" si="45"/>
        <v>32.937623519443704</v>
      </c>
      <c r="AB91" s="346">
        <f t="shared" si="46"/>
        <v>-1.3222266438640147</v>
      </c>
      <c r="AD91">
        <f t="shared" si="51"/>
        <v>0</v>
      </c>
      <c r="AE91">
        <f t="shared" si="52"/>
        <v>0</v>
      </c>
    </row>
    <row r="92" spans="1:31" x14ac:dyDescent="0.2">
      <c r="A92" s="347">
        <v>1445.4</v>
      </c>
      <c r="B92" s="364">
        <f t="shared" si="48"/>
        <v>1.4454</v>
      </c>
      <c r="C92" s="337">
        <f t="shared" si="26"/>
        <v>1.0002701494066604</v>
      </c>
      <c r="D92" s="338">
        <f t="shared" si="27"/>
        <v>2.3241712648830775E-2</v>
      </c>
      <c r="E92" s="338">
        <f t="shared" si="28"/>
        <v>1.0000000036438588</v>
      </c>
      <c r="F92" s="339">
        <f t="shared" si="29"/>
        <v>8.5368130499248397E-5</v>
      </c>
      <c r="G92" s="338">
        <f t="shared" si="30"/>
        <v>1</v>
      </c>
      <c r="H92" s="339">
        <f t="shared" si="31"/>
        <v>0</v>
      </c>
      <c r="I92" s="337">
        <f t="shared" si="32"/>
        <v>10462.377219574752</v>
      </c>
      <c r="J92" s="340">
        <f t="shared" si="33"/>
        <v>1.5707007462226676</v>
      </c>
      <c r="K92" s="348">
        <f t="shared" si="34"/>
        <v>1.0284673793153098</v>
      </c>
      <c r="L92" s="349">
        <f t="shared" si="35"/>
        <v>0.23583070830333719</v>
      </c>
      <c r="M92" s="337">
        <f t="shared" si="36"/>
        <v>1.0000010082020148</v>
      </c>
      <c r="N92" s="340">
        <f t="shared" si="37"/>
        <v>1.4200008223633788E-3</v>
      </c>
      <c r="O92" s="341">
        <f t="shared" si="38"/>
        <v>1.0000004057379552</v>
      </c>
      <c r="P92" s="342">
        <f t="shared" si="39"/>
        <v>2.1450812580658791E-3</v>
      </c>
      <c r="Q92" s="343">
        <f t="shared" si="40"/>
        <v>12.277680115480802</v>
      </c>
      <c r="R92" s="344">
        <f t="shared" si="41"/>
        <v>-78.013444427066759</v>
      </c>
      <c r="S92" s="346">
        <f t="shared" si="42"/>
        <v>101.98655557293324</v>
      </c>
      <c r="U92" s="319">
        <f t="shared" si="49"/>
        <v>1000000000</v>
      </c>
      <c r="V92" s="319">
        <f t="shared" si="50"/>
        <v>2089181.1600000001</v>
      </c>
      <c r="X92" s="345">
        <f t="shared" si="43"/>
        <v>17.558418583464316</v>
      </c>
      <c r="Y92" s="346">
        <f t="shared" si="44"/>
        <v>-76.563779512759197</v>
      </c>
      <c r="AA92" s="345">
        <f t="shared" si="45"/>
        <v>32.93722854536275</v>
      </c>
      <c r="AB92" s="346">
        <f t="shared" si="46"/>
        <v>-1.4496649143075668</v>
      </c>
      <c r="AD92">
        <f t="shared" si="51"/>
        <v>0</v>
      </c>
      <c r="AE92">
        <f t="shared" si="52"/>
        <v>0</v>
      </c>
    </row>
    <row r="93" spans="1:31" x14ac:dyDescent="0.2">
      <c r="A93" s="347">
        <v>1584.9</v>
      </c>
      <c r="B93" s="364">
        <f t="shared" si="48"/>
        <v>1.5849000000000002</v>
      </c>
      <c r="C93" s="337">
        <f t="shared" si="26"/>
        <v>1.0003248028131069</v>
      </c>
      <c r="D93" s="338">
        <f t="shared" si="27"/>
        <v>2.5483913491078605E-2</v>
      </c>
      <c r="E93" s="338">
        <f t="shared" si="28"/>
        <v>1.0000000043811605</v>
      </c>
      <c r="F93" s="339">
        <f t="shared" si="29"/>
        <v>9.3607271317112359E-5</v>
      </c>
      <c r="G93" s="338">
        <f t="shared" si="30"/>
        <v>1</v>
      </c>
      <c r="H93" s="339">
        <f t="shared" si="31"/>
        <v>0</v>
      </c>
      <c r="I93" s="337">
        <f t="shared" si="32"/>
        <v>11472.13341812462</v>
      </c>
      <c r="J93" s="340">
        <f t="shared" si="33"/>
        <v>1.5707091590498208</v>
      </c>
      <c r="K93" s="348">
        <f t="shared" si="34"/>
        <v>1.0341321760243589</v>
      </c>
      <c r="L93" s="349">
        <f t="shared" si="35"/>
        <v>0.25763850386043241</v>
      </c>
      <c r="M93" s="337">
        <f t="shared" si="36"/>
        <v>1.0000012122024202</v>
      </c>
      <c r="N93" s="340">
        <f t="shared" si="37"/>
        <v>1.5570492578437217E-3</v>
      </c>
      <c r="O93" s="341">
        <f t="shared" si="38"/>
        <v>1.0000004878357656</v>
      </c>
      <c r="P93" s="342">
        <f t="shared" si="39"/>
        <v>2.3521098203615736E-3</v>
      </c>
      <c r="Q93" s="343">
        <f t="shared" si="40"/>
        <v>11.524637362605208</v>
      </c>
      <c r="R93" s="344">
        <f t="shared" si="41"/>
        <v>-76.912142536278182</v>
      </c>
      <c r="S93" s="346">
        <f t="shared" si="42"/>
        <v>103.08785746372182</v>
      </c>
      <c r="U93" s="319">
        <f t="shared" si="49"/>
        <v>1000000000</v>
      </c>
      <c r="V93" s="319">
        <f t="shared" si="50"/>
        <v>2511908.0100000002</v>
      </c>
      <c r="X93" s="345">
        <f t="shared" si="43"/>
        <v>16.80585110955974</v>
      </c>
      <c r="Y93" s="346">
        <f t="shared" si="44"/>
        <v>-75.322619181866784</v>
      </c>
      <c r="AA93" s="345">
        <f t="shared" si="45"/>
        <v>32.936753266391733</v>
      </c>
      <c r="AB93" s="346">
        <f t="shared" si="46"/>
        <v>-1.5895233544113847</v>
      </c>
      <c r="AD93">
        <f t="shared" si="51"/>
        <v>0</v>
      </c>
      <c r="AE93">
        <f t="shared" si="52"/>
        <v>0</v>
      </c>
    </row>
    <row r="94" spans="1:31" x14ac:dyDescent="0.2">
      <c r="A94" s="347">
        <v>1737.8</v>
      </c>
      <c r="B94" s="364">
        <f t="shared" si="48"/>
        <v>1.7378</v>
      </c>
      <c r="C94" s="337">
        <f t="shared" si="26"/>
        <v>1.0003904823221774</v>
      </c>
      <c r="D94" s="338">
        <f t="shared" si="27"/>
        <v>2.7941199000722144E-2</v>
      </c>
      <c r="E94" s="338">
        <f t="shared" si="28"/>
        <v>1.0000000052672633</v>
      </c>
      <c r="F94" s="339">
        <f t="shared" si="29"/>
        <v>1.026378421343823E-4</v>
      </c>
      <c r="G94" s="338">
        <f t="shared" si="30"/>
        <v>1</v>
      </c>
      <c r="H94" s="339">
        <f t="shared" si="31"/>
        <v>0</v>
      </c>
      <c r="I94" s="337">
        <f t="shared" si="32"/>
        <v>12578.884119676537</v>
      </c>
      <c r="J94" s="340">
        <f t="shared" si="33"/>
        <v>1.5707168284871342</v>
      </c>
      <c r="K94" s="348">
        <f t="shared" si="34"/>
        <v>1.0408994430512635</v>
      </c>
      <c r="L94" s="349">
        <f t="shared" si="35"/>
        <v>0.28125593949455102</v>
      </c>
      <c r="M94" s="337">
        <f t="shared" si="36"/>
        <v>1.000001457373769</v>
      </c>
      <c r="N94" s="340">
        <f t="shared" si="37"/>
        <v>1.7072621351620254E-3</v>
      </c>
      <c r="O94" s="341">
        <f t="shared" si="38"/>
        <v>1.0000005865025952</v>
      </c>
      <c r="P94" s="342">
        <f t="shared" si="39"/>
        <v>2.5790250519328209E-3</v>
      </c>
      <c r="Q94" s="343">
        <f t="shared" si="40"/>
        <v>10.780760062082994</v>
      </c>
      <c r="R94" s="344">
        <f t="shared" si="41"/>
        <v>-75.721285100691787</v>
      </c>
      <c r="S94" s="346">
        <f t="shared" si="42"/>
        <v>104.27871489930821</v>
      </c>
      <c r="U94" s="319">
        <f t="shared" si="49"/>
        <v>1000000000</v>
      </c>
      <c r="V94" s="319">
        <f t="shared" si="50"/>
        <v>3019948.84</v>
      </c>
      <c r="X94" s="345">
        <f t="shared" si="43"/>
        <v>16.062544939360379</v>
      </c>
      <c r="Y94" s="346">
        <f t="shared" si="44"/>
        <v>-73.978485785862176</v>
      </c>
      <c r="AA94" s="345">
        <f t="shared" si="45"/>
        <v>32.936182136068879</v>
      </c>
      <c r="AB94" s="346">
        <f t="shared" si="46"/>
        <v>-1.742799314829599</v>
      </c>
      <c r="AD94">
        <f t="shared" si="51"/>
        <v>0</v>
      </c>
      <c r="AE94">
        <f t="shared" si="52"/>
        <v>0</v>
      </c>
    </row>
    <row r="95" spans="1:31" x14ac:dyDescent="0.2">
      <c r="A95" s="347">
        <v>1905.5</v>
      </c>
      <c r="B95" s="364">
        <f t="shared" si="48"/>
        <v>1.9055</v>
      </c>
      <c r="C95" s="337">
        <f t="shared" si="26"/>
        <v>1.0004694642767396</v>
      </c>
      <c r="D95" s="338">
        <f t="shared" si="27"/>
        <v>3.063594902608327E-2</v>
      </c>
      <c r="E95" s="338">
        <f t="shared" si="28"/>
        <v>1.0000000063329104</v>
      </c>
      <c r="F95" s="339">
        <f t="shared" si="29"/>
        <v>1.1254252966286216E-4</v>
      </c>
      <c r="G95" s="338">
        <f t="shared" si="30"/>
        <v>1</v>
      </c>
      <c r="H95" s="339">
        <f t="shared" si="31"/>
        <v>0</v>
      </c>
      <c r="I95" s="337">
        <f t="shared" si="32"/>
        <v>13792.763078201424</v>
      </c>
      <c r="J95" s="340">
        <f t="shared" si="33"/>
        <v>1.5707238250057187</v>
      </c>
      <c r="K95" s="348">
        <f t="shared" si="34"/>
        <v>1.0489800904930473</v>
      </c>
      <c r="L95" s="349">
        <f t="shared" si="35"/>
        <v>0.30679317925830968</v>
      </c>
      <c r="M95" s="337">
        <f t="shared" si="36"/>
        <v>1.000001752222307</v>
      </c>
      <c r="N95" s="340">
        <f t="shared" si="37"/>
        <v>1.8720148228144233E-3</v>
      </c>
      <c r="O95" s="341">
        <f t="shared" si="38"/>
        <v>1.0000007051618278</v>
      </c>
      <c r="P95" s="342">
        <f t="shared" si="39"/>
        <v>2.8279046814996597E-3</v>
      </c>
      <c r="Q95" s="343">
        <f t="shared" si="40"/>
        <v>10.047056931317947</v>
      </c>
      <c r="R95" s="344">
        <f t="shared" si="41"/>
        <v>-74.436039603882378</v>
      </c>
      <c r="S95" s="346">
        <f t="shared" si="42"/>
        <v>105.56396039611762</v>
      </c>
      <c r="U95" s="319">
        <f t="shared" si="49"/>
        <v>1000000000</v>
      </c>
      <c r="V95" s="319">
        <f t="shared" si="50"/>
        <v>3630930.25</v>
      </c>
      <c r="X95" s="345">
        <f t="shared" si="43"/>
        <v>15.32952856369347</v>
      </c>
      <c r="Y95" s="346">
        <f t="shared" si="44"/>
        <v>-72.525150229976575</v>
      </c>
      <c r="AA95" s="345">
        <f t="shared" si="45"/>
        <v>32.935495380970735</v>
      </c>
      <c r="AB95" s="346">
        <f t="shared" si="46"/>
        <v>-1.9108893739058155</v>
      </c>
      <c r="AD95">
        <f t="shared" si="51"/>
        <v>0</v>
      </c>
      <c r="AE95">
        <f t="shared" si="52"/>
        <v>0</v>
      </c>
    </row>
    <row r="96" spans="1:31" x14ac:dyDescent="0.2">
      <c r="A96" s="347">
        <v>2089.3000000000002</v>
      </c>
      <c r="B96" s="364">
        <f t="shared" si="48"/>
        <v>2.0893000000000002</v>
      </c>
      <c r="C96" s="337">
        <f t="shared" si="26"/>
        <v>1.0005643722473272</v>
      </c>
      <c r="D96" s="338">
        <f t="shared" si="27"/>
        <v>3.3588895339590155E-2</v>
      </c>
      <c r="E96" s="338">
        <f t="shared" si="28"/>
        <v>1.0000000076135473</v>
      </c>
      <c r="F96" s="339">
        <f t="shared" si="29"/>
        <v>1.2339811441819444E-4</v>
      </c>
      <c r="G96" s="338">
        <f t="shared" si="30"/>
        <v>1</v>
      </c>
      <c r="H96" s="339">
        <f t="shared" si="31"/>
        <v>0</v>
      </c>
      <c r="I96" s="337">
        <f t="shared" si="32"/>
        <v>15123.180208106303</v>
      </c>
      <c r="J96" s="340">
        <f t="shared" si="33"/>
        <v>1.5707302031365808</v>
      </c>
      <c r="K96" s="348">
        <f t="shared" si="34"/>
        <v>1.0586093733661242</v>
      </c>
      <c r="L96" s="349">
        <f t="shared" si="35"/>
        <v>0.33431435978960855</v>
      </c>
      <c r="M96" s="337">
        <f t="shared" si="36"/>
        <v>1.0000021065551341</v>
      </c>
      <c r="N96" s="340">
        <f t="shared" si="37"/>
        <v>2.0525844373636424E-3</v>
      </c>
      <c r="O96" s="341">
        <f t="shared" si="38"/>
        <v>1.0000008477604299</v>
      </c>
      <c r="P96" s="342">
        <f t="shared" si="39"/>
        <v>3.1006780377814806E-3</v>
      </c>
      <c r="Q96" s="343">
        <f t="shared" si="40"/>
        <v>9.3257614661562052</v>
      </c>
      <c r="R96" s="344">
        <f t="shared" si="41"/>
        <v>-73.054101571224408</v>
      </c>
      <c r="S96" s="346">
        <f t="shared" si="42"/>
        <v>106.94589842877559</v>
      </c>
      <c r="U96" s="319">
        <f t="shared" si="49"/>
        <v>1000000000</v>
      </c>
      <c r="V96" s="319">
        <f t="shared" si="50"/>
        <v>4365174.4900000012</v>
      </c>
      <c r="X96" s="345">
        <f t="shared" si="43"/>
        <v>14.609058260255273</v>
      </c>
      <c r="Y96" s="346">
        <f t="shared" si="44"/>
        <v>-70.959014053327508</v>
      </c>
      <c r="AA96" s="345">
        <f t="shared" si="45"/>
        <v>32.934670219247195</v>
      </c>
      <c r="AB96" s="346">
        <f t="shared" si="46"/>
        <v>-2.095087517896892</v>
      </c>
      <c r="AD96">
        <f t="shared" si="51"/>
        <v>0</v>
      </c>
      <c r="AE96">
        <f t="shared" si="52"/>
        <v>0</v>
      </c>
    </row>
    <row r="97" spans="1:31" x14ac:dyDescent="0.2">
      <c r="A97" s="347">
        <v>2290.9</v>
      </c>
      <c r="B97" s="364">
        <f t="shared" si="48"/>
        <v>2.2909000000000002</v>
      </c>
      <c r="C97" s="337">
        <f t="shared" si="26"/>
        <v>1.0006785026215002</v>
      </c>
      <c r="D97" s="338">
        <f t="shared" si="27"/>
        <v>3.6827142308859841E-2</v>
      </c>
      <c r="E97" s="338">
        <f t="shared" si="28"/>
        <v>1.0000000091537218</v>
      </c>
      <c r="F97" s="339">
        <f t="shared" si="29"/>
        <v>1.3530500168974178E-4</v>
      </c>
      <c r="G97" s="338">
        <f t="shared" si="30"/>
        <v>1</v>
      </c>
      <c r="H97" s="339">
        <f t="shared" si="31"/>
        <v>0</v>
      </c>
      <c r="I97" s="337">
        <f t="shared" si="32"/>
        <v>16582.440782083351</v>
      </c>
      <c r="J97" s="340">
        <f t="shared" si="33"/>
        <v>1.5707360220415887</v>
      </c>
      <c r="K97" s="348">
        <f t="shared" si="34"/>
        <v>1.0700753890805048</v>
      </c>
      <c r="L97" s="349">
        <f t="shared" si="35"/>
        <v>0.3639063047523296</v>
      </c>
      <c r="M97" s="337">
        <f t="shared" si="36"/>
        <v>1.0000025326979198</v>
      </c>
      <c r="N97" s="340">
        <f t="shared" si="37"/>
        <v>2.2506410528252358E-3</v>
      </c>
      <c r="O97" s="341">
        <f t="shared" si="38"/>
        <v>1.0000010192590414</v>
      </c>
      <c r="P97" s="342">
        <f t="shared" si="39"/>
        <v>3.3998680903126236E-3</v>
      </c>
      <c r="Q97" s="343">
        <f t="shared" si="40"/>
        <v>8.6182318369267321</v>
      </c>
      <c r="R97" s="344">
        <f t="shared" si="41"/>
        <v>-71.572287219707505</v>
      </c>
      <c r="S97" s="346">
        <f t="shared" si="42"/>
        <v>108.4277127802925</v>
      </c>
      <c r="U97" s="319">
        <f t="shared" si="49"/>
        <v>1000000000</v>
      </c>
      <c r="V97" s="319">
        <f t="shared" si="50"/>
        <v>5248222.8100000005</v>
      </c>
      <c r="X97" s="345">
        <f t="shared" si="43"/>
        <v>13.902520815436983</v>
      </c>
      <c r="Y97" s="346">
        <f t="shared" si="44"/>
        <v>-69.27520170432507</v>
      </c>
      <c r="AA97" s="345">
        <f t="shared" si="45"/>
        <v>32.933678034836007</v>
      </c>
      <c r="AB97" s="346">
        <f t="shared" si="46"/>
        <v>-2.2970855153824252</v>
      </c>
      <c r="AD97">
        <f t="shared" si="51"/>
        <v>0</v>
      </c>
      <c r="AE97">
        <f t="shared" si="52"/>
        <v>0</v>
      </c>
    </row>
    <row r="98" spans="1:31" x14ac:dyDescent="0.2">
      <c r="A98" s="347">
        <v>2511.9</v>
      </c>
      <c r="B98" s="364">
        <f t="shared" si="48"/>
        <v>2.5119000000000002</v>
      </c>
      <c r="C98" s="337">
        <f t="shared" si="26"/>
        <v>1.0008156694246435</v>
      </c>
      <c r="D98" s="338">
        <f t="shared" si="27"/>
        <v>4.0376116201679989E-2</v>
      </c>
      <c r="E98" s="338">
        <f t="shared" si="28"/>
        <v>1.0000000110050022</v>
      </c>
      <c r="F98" s="339">
        <f t="shared" si="29"/>
        <v>1.4835769056920686E-4</v>
      </c>
      <c r="G98" s="338">
        <f t="shared" si="30"/>
        <v>1</v>
      </c>
      <c r="H98" s="339">
        <f t="shared" si="31"/>
        <v>0</v>
      </c>
      <c r="I98" s="337">
        <f t="shared" si="32"/>
        <v>18182.126233259463</v>
      </c>
      <c r="J98" s="340">
        <f t="shared" si="33"/>
        <v>1.5707413277267086</v>
      </c>
      <c r="K98" s="348">
        <f t="shared" si="34"/>
        <v>1.0836969350094736</v>
      </c>
      <c r="L98" s="349">
        <f t="shared" si="35"/>
        <v>0.39559559047114412</v>
      </c>
      <c r="M98" s="337">
        <f t="shared" si="36"/>
        <v>1.0000030449187594</v>
      </c>
      <c r="N98" s="340">
        <f t="shared" si="37"/>
        <v>2.4677564843837898E-3</v>
      </c>
      <c r="O98" s="341">
        <f t="shared" si="38"/>
        <v>1.0000012254001567</v>
      </c>
      <c r="P98" s="342">
        <f t="shared" si="39"/>
        <v>3.7278494142253741E-3</v>
      </c>
      <c r="Q98" s="343">
        <f t="shared" si="40"/>
        <v>7.92698020251553</v>
      </c>
      <c r="R98" s="344">
        <f t="shared" si="41"/>
        <v>-69.990753988984281</v>
      </c>
      <c r="S98" s="346">
        <f t="shared" si="42"/>
        <v>110.00924601101572</v>
      </c>
      <c r="U98" s="319">
        <f t="shared" si="49"/>
        <v>1000000000</v>
      </c>
      <c r="V98" s="319">
        <f t="shared" si="50"/>
        <v>6309641.6100000003</v>
      </c>
      <c r="X98" s="345">
        <f t="shared" si="43"/>
        <v>13.212461481753156</v>
      </c>
      <c r="Y98" s="346">
        <f t="shared" si="44"/>
        <v>-67.472283166052947</v>
      </c>
      <c r="AA98" s="345">
        <f t="shared" si="45"/>
        <v>32.932485734108639</v>
      </c>
      <c r="AB98" s="346">
        <f t="shared" si="46"/>
        <v>-2.5184708229313264</v>
      </c>
      <c r="AD98">
        <f t="shared" si="51"/>
        <v>0</v>
      </c>
      <c r="AE98">
        <f t="shared" si="52"/>
        <v>0</v>
      </c>
    </row>
    <row r="99" spans="1:31" x14ac:dyDescent="0.2">
      <c r="A99" s="347">
        <v>2754.2</v>
      </c>
      <c r="B99" s="364">
        <f t="shared" si="48"/>
        <v>2.7542</v>
      </c>
      <c r="C99" s="337">
        <f t="shared" si="26"/>
        <v>1.0009805385085946</v>
      </c>
      <c r="D99" s="338">
        <f t="shared" si="27"/>
        <v>4.4265968085649317E-2</v>
      </c>
      <c r="E99" s="338">
        <f t="shared" si="28"/>
        <v>1.0000000132305042</v>
      </c>
      <c r="F99" s="339">
        <f t="shared" si="29"/>
        <v>1.6266839872585405E-4</v>
      </c>
      <c r="G99" s="338">
        <f t="shared" si="30"/>
        <v>1</v>
      </c>
      <c r="H99" s="339">
        <f t="shared" si="31"/>
        <v>0</v>
      </c>
      <c r="I99" s="337">
        <f t="shared" si="32"/>
        <v>19935.989513477092</v>
      </c>
      <c r="J99" s="340">
        <f t="shared" si="33"/>
        <v>1.570746166254847</v>
      </c>
      <c r="K99" s="348">
        <f t="shared" si="34"/>
        <v>1.0998486878742402</v>
      </c>
      <c r="L99" s="349">
        <f t="shared" si="35"/>
        <v>0.42939935360364884</v>
      </c>
      <c r="M99" s="337">
        <f t="shared" si="36"/>
        <v>1.0000036606805536</v>
      </c>
      <c r="N99" s="340">
        <f t="shared" si="37"/>
        <v>2.7057972527571019E-3</v>
      </c>
      <c r="O99" s="341">
        <f t="shared" si="38"/>
        <v>1.0000014732122027</v>
      </c>
      <c r="P99" s="342">
        <f t="shared" si="39"/>
        <v>4.0874418254549629E-3</v>
      </c>
      <c r="Q99" s="343">
        <f t="shared" si="40"/>
        <v>7.2541813322128137</v>
      </c>
      <c r="R99" s="344">
        <f t="shared" si="41"/>
        <v>-68.310512266744723</v>
      </c>
      <c r="S99" s="346">
        <f t="shared" si="42"/>
        <v>111.68948773325528</v>
      </c>
      <c r="U99" s="319">
        <f t="shared" si="49"/>
        <v>1000000000</v>
      </c>
      <c r="V99" s="319">
        <f t="shared" si="50"/>
        <v>7585617.6399999987</v>
      </c>
      <c r="X99" s="345">
        <f t="shared" si="43"/>
        <v>12.541095494294328</v>
      </c>
      <c r="Y99" s="346">
        <f t="shared" si="44"/>
        <v>-65.549386163324485</v>
      </c>
      <c r="AA99" s="345">
        <f t="shared" si="45"/>
        <v>32.931052851264745</v>
      </c>
      <c r="AB99" s="346">
        <f t="shared" si="46"/>
        <v>-2.7611261034202239</v>
      </c>
      <c r="AD99">
        <f t="shared" si="51"/>
        <v>0</v>
      </c>
      <c r="AE99">
        <f t="shared" si="52"/>
        <v>0</v>
      </c>
    </row>
    <row r="100" spans="1:31" x14ac:dyDescent="0.2">
      <c r="A100" s="347">
        <v>3020</v>
      </c>
      <c r="B100" s="364">
        <f t="shared" si="48"/>
        <v>3.02</v>
      </c>
      <c r="C100" s="337">
        <f t="shared" si="26"/>
        <v>1.0011788120348142</v>
      </c>
      <c r="D100" s="338">
        <f t="shared" si="27"/>
        <v>4.8531540266003252E-2</v>
      </c>
      <c r="E100" s="338">
        <f t="shared" si="28"/>
        <v>1.0000000159074047</v>
      </c>
      <c r="F100" s="339">
        <f t="shared" si="29"/>
        <v>1.7836706240482864E-4</v>
      </c>
      <c r="G100" s="338">
        <f t="shared" si="30"/>
        <v>1</v>
      </c>
      <c r="H100" s="339">
        <f t="shared" si="31"/>
        <v>0</v>
      </c>
      <c r="I100" s="337">
        <f t="shared" si="32"/>
        <v>21859.955093295652</v>
      </c>
      <c r="J100" s="340">
        <f t="shared" si="33"/>
        <v>1.570750581046743</v>
      </c>
      <c r="K100" s="348">
        <f t="shared" si="34"/>
        <v>1.1189676738521832</v>
      </c>
      <c r="L100" s="349">
        <f t="shared" si="35"/>
        <v>0.4653136670447145</v>
      </c>
      <c r="M100" s="337">
        <f t="shared" si="36"/>
        <v>1.0000044013368643</v>
      </c>
      <c r="N100" s="340">
        <f t="shared" si="37"/>
        <v>2.966924576460269E-3</v>
      </c>
      <c r="O100" s="341">
        <f t="shared" si="38"/>
        <v>1.0000017712896809</v>
      </c>
      <c r="P100" s="342">
        <f t="shared" si="39"/>
        <v>4.4819103870185496E-3</v>
      </c>
      <c r="Q100" s="343">
        <f t="shared" si="40"/>
        <v>6.6019146150337313</v>
      </c>
      <c r="R100" s="344">
        <f t="shared" si="41"/>
        <v>-66.534089322636717</v>
      </c>
      <c r="S100" s="346">
        <f t="shared" si="42"/>
        <v>113.46591067736328</v>
      </c>
      <c r="U100" s="319">
        <f t="shared" si="49"/>
        <v>1000000000</v>
      </c>
      <c r="V100" s="319">
        <f t="shared" si="50"/>
        <v>9120400</v>
      </c>
      <c r="X100" s="345">
        <f t="shared" si="43"/>
        <v>11.890551667508479</v>
      </c>
      <c r="Y100" s="346">
        <f t="shared" si="44"/>
        <v>-63.506862019214353</v>
      </c>
      <c r="AA100" s="345">
        <f t="shared" si="45"/>
        <v>32.929329960871513</v>
      </c>
      <c r="AB100" s="346">
        <f t="shared" si="46"/>
        <v>-3.0272273034223751</v>
      </c>
      <c r="AD100">
        <f t="shared" si="51"/>
        <v>0</v>
      </c>
      <c r="AE100">
        <f t="shared" si="52"/>
        <v>0</v>
      </c>
    </row>
    <row r="101" spans="1:31" x14ac:dyDescent="0.2">
      <c r="A101" s="347">
        <v>3311.3</v>
      </c>
      <c r="B101" s="364">
        <f t="shared" si="48"/>
        <v>3.3113000000000001</v>
      </c>
      <c r="C101" s="337">
        <f t="shared" si="26"/>
        <v>1.0014170201979802</v>
      </c>
      <c r="D101" s="338">
        <f t="shared" si="27"/>
        <v>5.3204303026680784E-2</v>
      </c>
      <c r="E101" s="338">
        <f t="shared" si="28"/>
        <v>1.0000000191241658</v>
      </c>
      <c r="F101" s="339">
        <f t="shared" si="29"/>
        <v>1.9557180545513427E-4</v>
      </c>
      <c r="G101" s="338">
        <f t="shared" si="30"/>
        <v>1</v>
      </c>
      <c r="H101" s="339">
        <f t="shared" si="31"/>
        <v>0</v>
      </c>
      <c r="I101" s="337">
        <f t="shared" si="32"/>
        <v>23968.49976413586</v>
      </c>
      <c r="J101" s="340">
        <f t="shared" si="33"/>
        <v>1.5707546053684356</v>
      </c>
      <c r="K101" s="348">
        <f t="shared" si="34"/>
        <v>1.1415189360126015</v>
      </c>
      <c r="L101" s="349">
        <f t="shared" si="35"/>
        <v>0.50323762349806522</v>
      </c>
      <c r="M101" s="337">
        <f t="shared" si="36"/>
        <v>1.0000052913633926</v>
      </c>
      <c r="N101" s="340">
        <f t="shared" si="37"/>
        <v>3.2531031525665647E-3</v>
      </c>
      <c r="O101" s="341">
        <f t="shared" si="38"/>
        <v>1.0000021294840109</v>
      </c>
      <c r="P101" s="342">
        <f t="shared" si="39"/>
        <v>4.9142233761967661E-3</v>
      </c>
      <c r="Q101" s="343">
        <f t="shared" si="40"/>
        <v>5.9733173093160739</v>
      </c>
      <c r="R101" s="344">
        <f t="shared" si="41"/>
        <v>-64.669347609934306</v>
      </c>
      <c r="S101" s="346">
        <f t="shared" si="42"/>
        <v>115.33065239006569</v>
      </c>
      <c r="U101" s="319">
        <f t="shared" si="49"/>
        <v>1000000000</v>
      </c>
      <c r="V101" s="319">
        <f t="shared" si="50"/>
        <v>10964707.690000001</v>
      </c>
      <c r="X101" s="345">
        <f t="shared" si="43"/>
        <v>11.264023812934505</v>
      </c>
      <c r="Y101" s="346">
        <f t="shared" si="44"/>
        <v>-61.350606770781901</v>
      </c>
      <c r="AA101" s="345">
        <f t="shared" si="45"/>
        <v>32.92726050972783</v>
      </c>
      <c r="AB101" s="346">
        <f t="shared" si="46"/>
        <v>-3.3187408391524067</v>
      </c>
      <c r="AD101">
        <f t="shared" si="51"/>
        <v>0</v>
      </c>
      <c r="AE101">
        <f t="shared" si="52"/>
        <v>0</v>
      </c>
    </row>
    <row r="102" spans="1:31" x14ac:dyDescent="0.2">
      <c r="A102" s="347">
        <v>3630.8</v>
      </c>
      <c r="B102" s="364">
        <f t="shared" si="48"/>
        <v>3.6308000000000002</v>
      </c>
      <c r="C102" s="337">
        <f t="shared" si="26"/>
        <v>1.0017034190260976</v>
      </c>
      <c r="D102" s="338">
        <f t="shared" si="27"/>
        <v>5.8326743529681174E-2</v>
      </c>
      <c r="E102" s="338">
        <f t="shared" si="28"/>
        <v>1.0000000229927064</v>
      </c>
      <c r="F102" s="339">
        <f t="shared" si="29"/>
        <v>2.1444209507298661E-4</v>
      </c>
      <c r="G102" s="338">
        <f t="shared" si="30"/>
        <v>1</v>
      </c>
      <c r="H102" s="339">
        <f t="shared" si="31"/>
        <v>0</v>
      </c>
      <c r="I102" s="337">
        <f t="shared" si="32"/>
        <v>26281.167194419409</v>
      </c>
      <c r="J102" s="340">
        <f t="shared" si="33"/>
        <v>1.5707582767344543</v>
      </c>
      <c r="K102" s="348">
        <f t="shared" si="34"/>
        <v>1.1680630213621983</v>
      </c>
      <c r="L102" s="349">
        <f t="shared" si="35"/>
        <v>0.54308558545183117</v>
      </c>
      <c r="M102" s="337">
        <f t="shared" si="36"/>
        <v>1.0000063617258712</v>
      </c>
      <c r="N102" s="340">
        <f t="shared" si="37"/>
        <v>3.566985322405616E-3</v>
      </c>
      <c r="O102" s="341">
        <f t="shared" si="38"/>
        <v>1.000002560259142</v>
      </c>
      <c r="P102" s="342">
        <f t="shared" si="39"/>
        <v>5.3883879670898497E-3</v>
      </c>
      <c r="Q102" s="343">
        <f t="shared" si="40"/>
        <v>5.3704077003360071</v>
      </c>
      <c r="R102" s="344">
        <f t="shared" si="41"/>
        <v>-62.724002706465086</v>
      </c>
      <c r="S102" s="346">
        <f t="shared" si="42"/>
        <v>117.27599729353491</v>
      </c>
      <c r="U102" s="319">
        <f t="shared" si="49"/>
        <v>1000000000</v>
      </c>
      <c r="V102" s="319">
        <f t="shared" si="50"/>
        <v>13182708.640000001</v>
      </c>
      <c r="X102" s="345">
        <f t="shared" si="43"/>
        <v>10.663601665438836</v>
      </c>
      <c r="Y102" s="346">
        <f t="shared" si="44"/>
        <v>-59.08568120341927</v>
      </c>
      <c r="AA102" s="345">
        <f t="shared" si="45"/>
        <v>32.924773048243438</v>
      </c>
      <c r="AB102" s="346">
        <f t="shared" si="46"/>
        <v>-3.6383215030458023</v>
      </c>
      <c r="AD102">
        <f t="shared" si="51"/>
        <v>0</v>
      </c>
      <c r="AE102">
        <f t="shared" si="52"/>
        <v>0</v>
      </c>
    </row>
    <row r="103" spans="1:31" x14ac:dyDescent="0.2">
      <c r="A103" s="347">
        <v>3981.1</v>
      </c>
      <c r="B103" s="364">
        <f t="shared" si="48"/>
        <v>3.9811000000000001</v>
      </c>
      <c r="C103" s="337">
        <f t="shared" si="26"/>
        <v>1.0020476151879172</v>
      </c>
      <c r="D103" s="338">
        <f t="shared" si="27"/>
        <v>6.393946108695571E-2</v>
      </c>
      <c r="E103" s="338">
        <f t="shared" si="28"/>
        <v>1.00000002764341</v>
      </c>
      <c r="F103" s="339">
        <f t="shared" si="29"/>
        <v>2.3513149224637785E-4</v>
      </c>
      <c r="G103" s="338">
        <f t="shared" si="30"/>
        <v>1</v>
      </c>
      <c r="H103" s="339">
        <f t="shared" si="31"/>
        <v>0</v>
      </c>
      <c r="I103" s="337">
        <f t="shared" si="32"/>
        <v>28816.777213000045</v>
      </c>
      <c r="J103" s="340">
        <f t="shared" si="33"/>
        <v>1.570761624788048</v>
      </c>
      <c r="K103" s="348">
        <f t="shared" si="34"/>
        <v>1.1991964367783334</v>
      </c>
      <c r="L103" s="349">
        <f t="shared" si="35"/>
        <v>0.58467458215027546</v>
      </c>
      <c r="M103" s="337">
        <f t="shared" si="36"/>
        <v>1.0000076484986009</v>
      </c>
      <c r="N103" s="340">
        <f t="shared" si="37"/>
        <v>3.9111251198627565E-3</v>
      </c>
      <c r="O103" s="341">
        <f t="shared" si="38"/>
        <v>1.000003078135868</v>
      </c>
      <c r="P103" s="342">
        <f t="shared" si="39"/>
        <v>5.9082629788529198E-3</v>
      </c>
      <c r="Q103" s="343">
        <f t="shared" si="40"/>
        <v>4.7958739002925483</v>
      </c>
      <c r="R103" s="344">
        <f t="shared" si="41"/>
        <v>-60.711224562998495</v>
      </c>
      <c r="S103" s="346">
        <f t="shared" si="42"/>
        <v>119.2887754370015</v>
      </c>
      <c r="U103" s="319">
        <f t="shared" si="49"/>
        <v>1000000000</v>
      </c>
      <c r="V103" s="319">
        <f t="shared" si="50"/>
        <v>15849157.209999999</v>
      </c>
      <c r="X103" s="345">
        <f t="shared" si="43"/>
        <v>10.092056376469159</v>
      </c>
      <c r="Y103" s="346">
        <f t="shared" si="44"/>
        <v>-56.722716803012105</v>
      </c>
      <c r="AA103" s="345">
        <f t="shared" si="45"/>
        <v>32.92178453716965</v>
      </c>
      <c r="AB103" s="346">
        <f t="shared" si="46"/>
        <v>-3.9885077599863892</v>
      </c>
      <c r="AD103">
        <f t="shared" si="51"/>
        <v>0</v>
      </c>
      <c r="AE103">
        <f t="shared" si="52"/>
        <v>0</v>
      </c>
    </row>
    <row r="104" spans="1:31" x14ac:dyDescent="0.2">
      <c r="A104" s="347">
        <v>4365.2</v>
      </c>
      <c r="B104" s="364">
        <f t="shared" si="48"/>
        <v>4.3651999999999997</v>
      </c>
      <c r="C104" s="337">
        <f t="shared" si="26"/>
        <v>1.0024612783827718</v>
      </c>
      <c r="D104" s="338">
        <f t="shared" si="27"/>
        <v>7.008909644374435E-2</v>
      </c>
      <c r="E104" s="338">
        <f t="shared" si="28"/>
        <v>1.0000000332348509</v>
      </c>
      <c r="F104" s="339">
        <f t="shared" si="29"/>
        <v>2.5781718272032029E-4</v>
      </c>
      <c r="G104" s="338">
        <f t="shared" si="30"/>
        <v>1</v>
      </c>
      <c r="H104" s="339">
        <f t="shared" si="31"/>
        <v>0</v>
      </c>
      <c r="I104" s="337">
        <f t="shared" si="32"/>
        <v>31597.045007019464</v>
      </c>
      <c r="J104" s="340">
        <f t="shared" si="33"/>
        <v>1.5707646782657401</v>
      </c>
      <c r="K104" s="348">
        <f t="shared" si="34"/>
        <v>1.2355893610481214</v>
      </c>
      <c r="L104" s="349">
        <f t="shared" si="35"/>
        <v>0.62778518123569327</v>
      </c>
      <c r="M104" s="337">
        <f t="shared" si="36"/>
        <v>1.0000091955556167</v>
      </c>
      <c r="N104" s="340">
        <f t="shared" si="37"/>
        <v>4.2884694594210945E-3</v>
      </c>
      <c r="O104" s="341">
        <f t="shared" si="38"/>
        <v>1.0000037007753184</v>
      </c>
      <c r="P104" s="342">
        <f t="shared" si="39"/>
        <v>6.4783009338350147E-3</v>
      </c>
      <c r="Q104" s="343">
        <f t="shared" si="40"/>
        <v>4.2519255708226513</v>
      </c>
      <c r="R104" s="344">
        <f t="shared" si="41"/>
        <v>-58.646673496380522</v>
      </c>
      <c r="S104" s="346">
        <f t="shared" si="42"/>
        <v>121.35332650361948</v>
      </c>
      <c r="U104" s="319">
        <f t="shared" si="49"/>
        <v>1000000000</v>
      </c>
      <c r="V104" s="319">
        <f t="shared" si="50"/>
        <v>19054971.039999999</v>
      </c>
      <c r="X104" s="345">
        <f t="shared" si="43"/>
        <v>9.5516983574198164</v>
      </c>
      <c r="Y104" s="346">
        <f t="shared" si="44"/>
        <v>-54.27445660980402</v>
      </c>
      <c r="AA104" s="345">
        <f t="shared" si="45"/>
        <v>32.918194226749094</v>
      </c>
      <c r="AB104" s="346">
        <f t="shared" si="46"/>
        <v>-4.3722168865765036</v>
      </c>
      <c r="AD104">
        <f t="shared" si="51"/>
        <v>0</v>
      </c>
      <c r="AE104">
        <f t="shared" si="52"/>
        <v>0</v>
      </c>
    </row>
    <row r="105" spans="1:31" x14ac:dyDescent="0.2">
      <c r="A105" s="347">
        <v>4786.3</v>
      </c>
      <c r="B105" s="364">
        <f t="shared" si="48"/>
        <v>4.7862999999999998</v>
      </c>
      <c r="C105" s="337">
        <f t="shared" si="26"/>
        <v>1.0029583155240229</v>
      </c>
      <c r="D105" s="338">
        <f t="shared" si="27"/>
        <v>7.6825007150588875E-2</v>
      </c>
      <c r="E105" s="338">
        <f t="shared" si="28"/>
        <v>1.0000000399563005</v>
      </c>
      <c r="F105" s="339">
        <f t="shared" si="29"/>
        <v>2.8268816460295053E-4</v>
      </c>
      <c r="G105" s="338">
        <f t="shared" si="30"/>
        <v>1</v>
      </c>
      <c r="H105" s="339">
        <f t="shared" si="31"/>
        <v>0</v>
      </c>
      <c r="I105" s="337">
        <f t="shared" si="32"/>
        <v>34645.133442764665</v>
      </c>
      <c r="J105" s="340">
        <f t="shared" si="33"/>
        <v>1.5707674627121015</v>
      </c>
      <c r="K105" s="348">
        <f t="shared" si="34"/>
        <v>1.2779661897721784</v>
      </c>
      <c r="L105" s="349">
        <f t="shared" si="35"/>
        <v>0.67213622156484487</v>
      </c>
      <c r="M105" s="337">
        <f t="shared" si="36"/>
        <v>1.0000110552638222</v>
      </c>
      <c r="N105" s="340">
        <f t="shared" si="37"/>
        <v>4.7021616250589012E-3</v>
      </c>
      <c r="O105" s="341">
        <f t="shared" si="38"/>
        <v>1.0000044492585187</v>
      </c>
      <c r="P105" s="342">
        <f t="shared" si="39"/>
        <v>7.1032512634487035E-3</v>
      </c>
      <c r="Q105" s="343">
        <f t="shared" si="40"/>
        <v>3.7405861184940949</v>
      </c>
      <c r="R105" s="344">
        <f t="shared" si="41"/>
        <v>-56.549729686920116</v>
      </c>
      <c r="S105" s="346">
        <f t="shared" si="42"/>
        <v>123.45027031307988</v>
      </c>
      <c r="U105" s="319">
        <f t="shared" si="49"/>
        <v>1000000000</v>
      </c>
      <c r="V105" s="319">
        <f t="shared" si="50"/>
        <v>22908667.690000001</v>
      </c>
      <c r="X105" s="345">
        <f t="shared" si="43"/>
        <v>9.044670890622319</v>
      </c>
      <c r="Y105" s="346">
        <f t="shared" si="44"/>
        <v>-51.757191531186187</v>
      </c>
      <c r="AA105" s="345">
        <f t="shared" si="45"/>
        <v>32.91388224121804</v>
      </c>
      <c r="AB105" s="346">
        <f t="shared" si="46"/>
        <v>-4.7925381557339177</v>
      </c>
      <c r="AD105">
        <f t="shared" si="51"/>
        <v>0</v>
      </c>
      <c r="AE105">
        <f t="shared" si="52"/>
        <v>0</v>
      </c>
    </row>
    <row r="106" spans="1:31" x14ac:dyDescent="0.2">
      <c r="A106" s="347">
        <v>5248.1</v>
      </c>
      <c r="B106" s="364">
        <f t="shared" si="48"/>
        <v>5.2481</v>
      </c>
      <c r="C106" s="337">
        <f t="shared" si="26"/>
        <v>1.0035556529436391</v>
      </c>
      <c r="D106" s="338">
        <f t="shared" si="27"/>
        <v>8.4203910301018037E-2</v>
      </c>
      <c r="E106" s="338">
        <f t="shared" si="28"/>
        <v>1.0000000480385223</v>
      </c>
      <c r="F106" s="339">
        <f t="shared" si="29"/>
        <v>3.0996296693876679E-4</v>
      </c>
      <c r="G106" s="338">
        <f t="shared" si="30"/>
        <v>1</v>
      </c>
      <c r="H106" s="339">
        <f t="shared" si="31"/>
        <v>0</v>
      </c>
      <c r="I106" s="337">
        <f t="shared" si="32"/>
        <v>37987.824584382572</v>
      </c>
      <c r="J106" s="340">
        <f t="shared" si="33"/>
        <v>1.5707700025709892</v>
      </c>
      <c r="K106" s="348">
        <f t="shared" si="34"/>
        <v>1.3271317172944952</v>
      </c>
      <c r="L106" s="349">
        <f t="shared" si="35"/>
        <v>0.71741958532788563</v>
      </c>
      <c r="M106" s="337">
        <f t="shared" si="36"/>
        <v>1.0000132914694195</v>
      </c>
      <c r="N106" s="340">
        <f t="shared" si="37"/>
        <v>5.1558359558836571E-3</v>
      </c>
      <c r="O106" s="341">
        <f t="shared" si="38"/>
        <v>1.0000053492892078</v>
      </c>
      <c r="P106" s="342">
        <f t="shared" si="39"/>
        <v>7.7886055651213443E-3</v>
      </c>
      <c r="Q106" s="343">
        <f t="shared" si="40"/>
        <v>3.2632369634381742</v>
      </c>
      <c r="R106" s="344">
        <f t="shared" si="41"/>
        <v>-54.441808392209538</v>
      </c>
      <c r="S106" s="346">
        <f t="shared" si="42"/>
        <v>125.55819160779046</v>
      </c>
      <c r="U106" s="319">
        <f t="shared" si="49"/>
        <v>1000000000</v>
      </c>
      <c r="V106" s="319">
        <f t="shared" si="50"/>
        <v>27542553.610000003</v>
      </c>
      <c r="X106" s="345">
        <f t="shared" si="43"/>
        <v>8.5725010462504834</v>
      </c>
      <c r="Y106" s="346">
        <f t="shared" si="44"/>
        <v>-49.188785050097977</v>
      </c>
      <c r="AA106" s="345">
        <f t="shared" si="45"/>
        <v>32.908702930533956</v>
      </c>
      <c r="AB106" s="346">
        <f t="shared" si="46"/>
        <v>-5.2530233421115593</v>
      </c>
      <c r="AD106">
        <f t="shared" si="51"/>
        <v>0</v>
      </c>
      <c r="AE106">
        <f t="shared" si="52"/>
        <v>0</v>
      </c>
    </row>
    <row r="107" spans="1:31" x14ac:dyDescent="0.2">
      <c r="A107" s="347">
        <v>5370.3</v>
      </c>
      <c r="B107" s="364">
        <f t="shared" si="48"/>
        <v>5.3703000000000003</v>
      </c>
      <c r="C107" s="337">
        <f t="shared" si="26"/>
        <v>1.0037228540797309</v>
      </c>
      <c r="D107" s="338">
        <f t="shared" si="27"/>
        <v>8.615498767488429E-2</v>
      </c>
      <c r="E107" s="338">
        <f t="shared" si="28"/>
        <v>1.0000000503016848</v>
      </c>
      <c r="F107" s="339">
        <f t="shared" si="29"/>
        <v>3.1718033551947589E-4</v>
      </c>
      <c r="G107" s="338">
        <f t="shared" si="30"/>
        <v>1</v>
      </c>
      <c r="H107" s="339">
        <f t="shared" si="31"/>
        <v>0</v>
      </c>
      <c r="I107" s="337">
        <f t="shared" si="32"/>
        <v>38872.356540906134</v>
      </c>
      <c r="J107" s="340">
        <f t="shared" si="33"/>
        <v>1.570770601572937</v>
      </c>
      <c r="K107" s="348">
        <f t="shared" si="34"/>
        <v>1.3405758096910145</v>
      </c>
      <c r="L107" s="349">
        <f t="shared" si="35"/>
        <v>0.72883902897340191</v>
      </c>
      <c r="M107" s="337">
        <f t="shared" si="36"/>
        <v>1.0000139176449008</v>
      </c>
      <c r="N107" s="340">
        <f t="shared" si="37"/>
        <v>5.2758854205282269E-3</v>
      </c>
      <c r="O107" s="341">
        <f t="shared" si="38"/>
        <v>1.0000056013164418</v>
      </c>
      <c r="P107" s="342">
        <f t="shared" si="39"/>
        <v>7.9699620525577938E-3</v>
      </c>
      <c r="Q107" s="343">
        <f t="shared" si="40"/>
        <v>3.1494004164920626</v>
      </c>
      <c r="R107" s="344">
        <f t="shared" si="41"/>
        <v>-53.916201049858401</v>
      </c>
      <c r="S107" s="346">
        <f t="shared" si="42"/>
        <v>126.0837989501416</v>
      </c>
      <c r="U107" s="319">
        <f t="shared" si="49"/>
        <v>1000000000</v>
      </c>
      <c r="V107" s="319">
        <f t="shared" si="50"/>
        <v>28840122.090000004</v>
      </c>
      <c r="X107" s="345">
        <f t="shared" si="43"/>
        <v>8.460113693245253</v>
      </c>
      <c r="Y107" s="346">
        <f t="shared" si="44"/>
        <v>-48.541411772023139</v>
      </c>
      <c r="AA107" s="345">
        <f t="shared" si="45"/>
        <v>32.90725373659307</v>
      </c>
      <c r="AB107" s="346">
        <f t="shared" si="46"/>
        <v>-5.3747892778352622</v>
      </c>
      <c r="AD107">
        <f t="shared" si="51"/>
        <v>0</v>
      </c>
      <c r="AE107">
        <f t="shared" si="52"/>
        <v>0</v>
      </c>
    </row>
    <row r="108" spans="1:31" x14ac:dyDescent="0.2">
      <c r="A108" s="347">
        <v>5432.85</v>
      </c>
      <c r="B108" s="364">
        <f t="shared" si="48"/>
        <v>5.4328500000000002</v>
      </c>
      <c r="C108" s="337">
        <f t="shared" si="26"/>
        <v>1.0038099166828263</v>
      </c>
      <c r="D108" s="338">
        <f t="shared" si="27"/>
        <v>8.7153424009200925E-2</v>
      </c>
      <c r="E108" s="338">
        <f t="shared" si="28"/>
        <v>1.0000000514802758</v>
      </c>
      <c r="F108" s="339">
        <f t="shared" si="29"/>
        <v>3.2087465960430977E-4</v>
      </c>
      <c r="G108" s="338">
        <f t="shared" si="30"/>
        <v>1</v>
      </c>
      <c r="H108" s="339">
        <f t="shared" si="31"/>
        <v>0</v>
      </c>
      <c r="I108" s="337">
        <f t="shared" si="32"/>
        <v>39325.118192961665</v>
      </c>
      <c r="J108" s="340">
        <f t="shared" si="33"/>
        <v>1.5707708977549837</v>
      </c>
      <c r="K108" s="348">
        <f t="shared" si="34"/>
        <v>1.3475240006452036</v>
      </c>
      <c r="L108" s="349">
        <f t="shared" si="35"/>
        <v>0.73459570160594834</v>
      </c>
      <c r="M108" s="337">
        <f t="shared" si="36"/>
        <v>1.0000142437392583</v>
      </c>
      <c r="N108" s="340">
        <f t="shared" si="37"/>
        <v>5.337334576417138E-3</v>
      </c>
      <c r="O108" s="341">
        <f t="shared" si="38"/>
        <v>1.0000057325656337</v>
      </c>
      <c r="P108" s="342">
        <f t="shared" si="39"/>
        <v>8.0627922825394372E-3</v>
      </c>
      <c r="Q108" s="343">
        <f t="shared" si="40"/>
        <v>3.09296234737017</v>
      </c>
      <c r="R108" s="344">
        <f t="shared" si="41"/>
        <v>-53.652219050221518</v>
      </c>
      <c r="S108" s="346">
        <f t="shared" si="42"/>
        <v>126.34778094977848</v>
      </c>
      <c r="U108" s="319">
        <f t="shared" si="49"/>
        <v>1000000000</v>
      </c>
      <c r="V108" s="319">
        <f t="shared" si="50"/>
        <v>29515859.122500002</v>
      </c>
      <c r="X108" s="345">
        <f t="shared" si="43"/>
        <v>8.4044301325440234</v>
      </c>
      <c r="Y108" s="346">
        <f t="shared" si="44"/>
        <v>-48.215116473035238</v>
      </c>
      <c r="AA108" s="345">
        <f t="shared" si="45"/>
        <v>32.906499228172407</v>
      </c>
      <c r="AB108" s="346">
        <f t="shared" si="46"/>
        <v>-5.437102577186284</v>
      </c>
      <c r="AD108">
        <f t="shared" si="51"/>
        <v>0</v>
      </c>
      <c r="AE108">
        <f t="shared" si="52"/>
        <v>0</v>
      </c>
    </row>
    <row r="109" spans="1:31" x14ac:dyDescent="0.2">
      <c r="A109" s="347">
        <v>5495.4</v>
      </c>
      <c r="B109" s="364">
        <f t="shared" si="48"/>
        <v>5.4954000000000001</v>
      </c>
      <c r="C109" s="337">
        <f t="shared" si="26"/>
        <v>1.0038979797848986</v>
      </c>
      <c r="D109" s="338">
        <f t="shared" si="27"/>
        <v>8.8151686170515206E-2</v>
      </c>
      <c r="E109" s="338">
        <f t="shared" si="28"/>
        <v>1.0000000526725148</v>
      </c>
      <c r="F109" s="339">
        <f t="shared" si="29"/>
        <v>3.2456898368038494E-4</v>
      </c>
      <c r="G109" s="338">
        <f t="shared" si="30"/>
        <v>1</v>
      </c>
      <c r="H109" s="339">
        <f t="shared" si="31"/>
        <v>0</v>
      </c>
      <c r="I109" s="337">
        <f t="shared" si="32"/>
        <v>39777.879845020565</v>
      </c>
      <c r="J109" s="340">
        <f t="shared" si="33"/>
        <v>1.5707711871945962</v>
      </c>
      <c r="K109" s="348">
        <f t="shared" si="34"/>
        <v>1.3545163885774192</v>
      </c>
      <c r="L109" s="349">
        <f t="shared" si="35"/>
        <v>0.74029312636043476</v>
      </c>
      <c r="M109" s="337">
        <f t="shared" si="36"/>
        <v>1.0000145736096662</v>
      </c>
      <c r="N109" s="340">
        <f t="shared" si="37"/>
        <v>5.3987836919981548E-3</v>
      </c>
      <c r="O109" s="341">
        <f t="shared" si="38"/>
        <v>1.0000058653350501</v>
      </c>
      <c r="P109" s="342">
        <f t="shared" si="39"/>
        <v>8.1556225452371102E-3</v>
      </c>
      <c r="Q109" s="343">
        <f t="shared" si="40"/>
        <v>3.0377195678766911</v>
      </c>
      <c r="R109" s="344">
        <f t="shared" si="41"/>
        <v>-53.391621337821007</v>
      </c>
      <c r="S109" s="346">
        <f t="shared" si="42"/>
        <v>126.60837866217899</v>
      </c>
      <c r="U109" s="319">
        <f t="shared" si="49"/>
        <v>1000000000</v>
      </c>
      <c r="V109" s="319">
        <f t="shared" si="50"/>
        <v>30199421.159999996</v>
      </c>
      <c r="X109" s="345">
        <f t="shared" si="43"/>
        <v>8.3499504657028325</v>
      </c>
      <c r="Y109" s="346">
        <f t="shared" si="44"/>
        <v>-47.892215438786664</v>
      </c>
      <c r="AA109" s="345">
        <f t="shared" si="45"/>
        <v>32.905736115520121</v>
      </c>
      <c r="AB109" s="346">
        <f t="shared" si="46"/>
        <v>-5.4994058990343468</v>
      </c>
      <c r="AD109">
        <f t="shared" si="51"/>
        <v>0</v>
      </c>
      <c r="AE109">
        <f t="shared" si="52"/>
        <v>0</v>
      </c>
    </row>
    <row r="110" spans="1:31" x14ac:dyDescent="0.2">
      <c r="A110" s="347">
        <v>5559.4</v>
      </c>
      <c r="B110" s="364">
        <f t="shared" si="48"/>
        <v>5.5593999999999992</v>
      </c>
      <c r="C110" s="337">
        <f t="shared" si="26"/>
        <v>1.0039891196005082</v>
      </c>
      <c r="D110" s="338">
        <f t="shared" si="27"/>
        <v>8.9172907197732312E-2</v>
      </c>
      <c r="E110" s="338">
        <f t="shared" si="28"/>
        <v>1.0000000539065181</v>
      </c>
      <c r="F110" s="339">
        <f t="shared" si="29"/>
        <v>3.2834894755400901E-4</v>
      </c>
      <c r="G110" s="338">
        <f t="shared" si="30"/>
        <v>1</v>
      </c>
      <c r="H110" s="339">
        <f t="shared" si="31"/>
        <v>0</v>
      </c>
      <c r="I110" s="337">
        <f t="shared" si="32"/>
        <v>40241.137170871574</v>
      </c>
      <c r="J110" s="340">
        <f t="shared" si="33"/>
        <v>1.5707714766025211</v>
      </c>
      <c r="K110" s="348">
        <f t="shared" si="34"/>
        <v>1.3617159057323009</v>
      </c>
      <c r="L110" s="349">
        <f t="shared" si="35"/>
        <v>0.7460618710172735</v>
      </c>
      <c r="M110" s="337">
        <f t="shared" si="36"/>
        <v>1.0000149150353119</v>
      </c>
      <c r="N110" s="340">
        <f t="shared" si="37"/>
        <v>5.4616572452724221E-3</v>
      </c>
      <c r="O110" s="341">
        <f t="shared" si="38"/>
        <v>1.0000060027557622</v>
      </c>
      <c r="P110" s="342">
        <f t="shared" si="39"/>
        <v>8.2506047827321533E-3</v>
      </c>
      <c r="Q110" s="343">
        <f t="shared" si="40"/>
        <v>2.9823995581865086</v>
      </c>
      <c r="R110" s="344">
        <f t="shared" si="41"/>
        <v>-53.128452746863118</v>
      </c>
      <c r="S110" s="346">
        <f t="shared" si="42"/>
        <v>126.87154725313688</v>
      </c>
      <c r="U110" s="319">
        <f t="shared" si="49"/>
        <v>1000000000</v>
      </c>
      <c r="V110" s="319">
        <f t="shared" si="50"/>
        <v>30906928.359999996</v>
      </c>
      <c r="X110" s="345">
        <f t="shared" si="43"/>
        <v>8.295420159717855</v>
      </c>
      <c r="Y110" s="346">
        <f t="shared" si="44"/>
        <v>-47.565309687585874</v>
      </c>
      <c r="AA110" s="345">
        <f t="shared" si="45"/>
        <v>32.904946411814912</v>
      </c>
      <c r="AB110" s="346">
        <f t="shared" si="46"/>
        <v>-5.5631430592772357</v>
      </c>
      <c r="AD110">
        <f t="shared" si="51"/>
        <v>0</v>
      </c>
      <c r="AE110">
        <f t="shared" si="52"/>
        <v>0</v>
      </c>
    </row>
    <row r="111" spans="1:31" x14ac:dyDescent="0.2">
      <c r="A111" s="347">
        <v>5623.4</v>
      </c>
      <c r="B111" s="364">
        <f t="shared" si="48"/>
        <v>5.6233999999999993</v>
      </c>
      <c r="C111" s="337">
        <f t="shared" si="26"/>
        <v>1.0040813062780094</v>
      </c>
      <c r="D111" s="338">
        <f t="shared" si="27"/>
        <v>9.0193941768998587E-2</v>
      </c>
      <c r="E111" s="338">
        <f t="shared" si="28"/>
        <v>1.0000000551548094</v>
      </c>
      <c r="F111" s="339">
        <f t="shared" si="29"/>
        <v>3.3212891141825017E-4</v>
      </c>
      <c r="G111" s="338">
        <f t="shared" si="30"/>
        <v>1</v>
      </c>
      <c r="H111" s="339">
        <f t="shared" si="31"/>
        <v>0</v>
      </c>
      <c r="I111" s="337">
        <f t="shared" si="32"/>
        <v>40704.394496725887</v>
      </c>
      <c r="J111" s="340">
        <f t="shared" si="33"/>
        <v>1.5707717594229342</v>
      </c>
      <c r="K111" s="348">
        <f t="shared" si="34"/>
        <v>1.3689602611185054</v>
      </c>
      <c r="L111" s="349">
        <f t="shared" si="35"/>
        <v>0.7517697490992139</v>
      </c>
      <c r="M111" s="337">
        <f t="shared" si="36"/>
        <v>1.0000152604140977</v>
      </c>
      <c r="N111" s="340">
        <f t="shared" si="37"/>
        <v>5.5245307553655138E-3</v>
      </c>
      <c r="O111" s="341">
        <f t="shared" si="38"/>
        <v>1.0000061417680248</v>
      </c>
      <c r="P111" s="342">
        <f t="shared" si="39"/>
        <v>8.3455870552752356E-3</v>
      </c>
      <c r="Q111" s="343">
        <f t="shared" si="40"/>
        <v>2.9282634014066278</v>
      </c>
      <c r="R111" s="344">
        <f t="shared" si="41"/>
        <v>-52.868760492723155</v>
      </c>
      <c r="S111" s="346">
        <f t="shared" si="42"/>
        <v>127.13123950727685</v>
      </c>
      <c r="U111" s="319">
        <f t="shared" si="49"/>
        <v>1000000000</v>
      </c>
      <c r="V111" s="319">
        <f t="shared" si="50"/>
        <v>31622627.559999995</v>
      </c>
      <c r="X111" s="345">
        <f t="shared" si="43"/>
        <v>8.242082704737415</v>
      </c>
      <c r="Y111" s="346">
        <f t="shared" si="44"/>
        <v>-47.241890954333442</v>
      </c>
      <c r="AA111" s="345">
        <f t="shared" si="45"/>
        <v>32.904147710015472</v>
      </c>
      <c r="AB111" s="346">
        <f t="shared" si="46"/>
        <v>-5.626869538389708</v>
      </c>
      <c r="AD111">
        <f t="shared" si="51"/>
        <v>0</v>
      </c>
      <c r="AE111">
        <f t="shared" si="52"/>
        <v>0</v>
      </c>
    </row>
    <row r="112" spans="1:31" x14ac:dyDescent="0.2">
      <c r="A112" s="347">
        <v>5688.9</v>
      </c>
      <c r="B112" s="364">
        <f t="shared" si="48"/>
        <v>5.6888999999999994</v>
      </c>
      <c r="C112" s="337">
        <f t="shared" si="26"/>
        <v>1.0041767372330401</v>
      </c>
      <c r="D112" s="338">
        <f t="shared" si="27"/>
        <v>9.1238711608154069E-2</v>
      </c>
      <c r="E112" s="338">
        <f t="shared" si="28"/>
        <v>1.0000000564471518</v>
      </c>
      <c r="F112" s="339">
        <f t="shared" si="29"/>
        <v>3.359974681757313E-4</v>
      </c>
      <c r="G112" s="338">
        <f t="shared" si="30"/>
        <v>1</v>
      </c>
      <c r="H112" s="339">
        <f t="shared" si="31"/>
        <v>0</v>
      </c>
      <c r="I112" s="337">
        <f t="shared" si="32"/>
        <v>41178.509416158195</v>
      </c>
      <c r="J112" s="340">
        <f t="shared" si="33"/>
        <v>1.5707720422830413</v>
      </c>
      <c r="K112" s="348">
        <f t="shared" si="34"/>
        <v>1.3764200941609048</v>
      </c>
      <c r="L112" s="349">
        <f t="shared" si="35"/>
        <v>0.75754900040326756</v>
      </c>
      <c r="M112" s="337">
        <f t="shared" si="36"/>
        <v>1.0000156179808981</v>
      </c>
      <c r="N112" s="340">
        <f t="shared" si="37"/>
        <v>5.5888778181216138E-3</v>
      </c>
      <c r="O112" s="341">
        <f t="shared" si="38"/>
        <v>1.0000062856863421</v>
      </c>
      <c r="P112" s="342">
        <f t="shared" si="39"/>
        <v>8.4427955115418032E-3</v>
      </c>
      <c r="Q112" s="343">
        <f t="shared" si="40"/>
        <v>2.874050354562895</v>
      </c>
      <c r="R112" s="344">
        <f t="shared" si="41"/>
        <v>-52.606545690414322</v>
      </c>
      <c r="S112" s="346">
        <f t="shared" si="42"/>
        <v>127.39345430958568</v>
      </c>
      <c r="U112" s="319">
        <f t="shared" si="49"/>
        <v>1000000000</v>
      </c>
      <c r="V112" s="319">
        <f t="shared" si="50"/>
        <v>32363583.209999997</v>
      </c>
      <c r="X112" s="345">
        <f t="shared" si="43"/>
        <v>8.1886963909797075</v>
      </c>
      <c r="Y112" s="346">
        <f t="shared" si="44"/>
        <v>-46.91446726730188</v>
      </c>
      <c r="AA112" s="345">
        <f t="shared" si="45"/>
        <v>32.90332097692945</v>
      </c>
      <c r="AB112" s="346">
        <f t="shared" si="46"/>
        <v>-5.6920784231124371</v>
      </c>
      <c r="AD112">
        <f t="shared" si="51"/>
        <v>0</v>
      </c>
      <c r="AE112">
        <f t="shared" si="52"/>
        <v>0</v>
      </c>
    </row>
    <row r="113" spans="1:31" x14ac:dyDescent="0.2">
      <c r="A113" s="347">
        <v>5754.4</v>
      </c>
      <c r="B113" s="364">
        <f t="shared" si="48"/>
        <v>5.7543999999999995</v>
      </c>
      <c r="C113" s="337">
        <f t="shared" si="26"/>
        <v>1.0042732640821679</v>
      </c>
      <c r="D113" s="338">
        <f t="shared" si="27"/>
        <v>9.2283281748876567E-2</v>
      </c>
      <c r="E113" s="338">
        <f t="shared" si="28"/>
        <v>1.0000000577544601</v>
      </c>
      <c r="F113" s="339">
        <f t="shared" si="29"/>
        <v>3.3986602492315553E-4</v>
      </c>
      <c r="G113" s="338">
        <f t="shared" si="30"/>
        <v>1</v>
      </c>
      <c r="H113" s="339">
        <f t="shared" si="31"/>
        <v>0</v>
      </c>
      <c r="I113" s="337">
        <f t="shared" si="32"/>
        <v>41652.624335593719</v>
      </c>
      <c r="J113" s="340">
        <f t="shared" si="33"/>
        <v>1.5707723187037848</v>
      </c>
      <c r="K113" s="348">
        <f t="shared" si="34"/>
        <v>1.3839254027836911</v>
      </c>
      <c r="L113" s="349">
        <f t="shared" si="35"/>
        <v>0.76326575682020881</v>
      </c>
      <c r="M113" s="337">
        <f t="shared" si="36"/>
        <v>1.0000159796883044</v>
      </c>
      <c r="N113" s="340">
        <f t="shared" si="37"/>
        <v>5.6532248345952706E-3</v>
      </c>
      <c r="O113" s="341">
        <f t="shared" si="38"/>
        <v>1.0000064312717174</v>
      </c>
      <c r="P113" s="342">
        <f t="shared" si="39"/>
        <v>8.5400040053734434E-3</v>
      </c>
      <c r="Q113" s="343">
        <f t="shared" si="40"/>
        <v>2.8210096538853997</v>
      </c>
      <c r="R113" s="344">
        <f t="shared" si="41"/>
        <v>-52.347899770057587</v>
      </c>
      <c r="S113" s="346">
        <f t="shared" si="42"/>
        <v>127.65210022994242</v>
      </c>
      <c r="U113" s="319">
        <f t="shared" si="49"/>
        <v>1000000000</v>
      </c>
      <c r="V113" s="319">
        <f t="shared" si="50"/>
        <v>33113119.359999996</v>
      </c>
      <c r="X113" s="345">
        <f t="shared" si="43"/>
        <v>8.1364918376085669</v>
      </c>
      <c r="Y113" s="346">
        <f t="shared" si="44"/>
        <v>-46.590623901946934</v>
      </c>
      <c r="AA113" s="345">
        <f t="shared" si="45"/>
        <v>32.902484829623091</v>
      </c>
      <c r="AB113" s="346">
        <f t="shared" si="46"/>
        <v>-5.7572758681106642</v>
      </c>
      <c r="AD113">
        <f t="shared" si="51"/>
        <v>0</v>
      </c>
      <c r="AE113">
        <f t="shared" si="52"/>
        <v>0</v>
      </c>
    </row>
    <row r="114" spans="1:31" x14ac:dyDescent="0.2">
      <c r="A114" s="347">
        <v>5821.4</v>
      </c>
      <c r="B114" s="364">
        <f t="shared" si="48"/>
        <v>5.8213999999999997</v>
      </c>
      <c r="C114" s="337">
        <f t="shared" si="26"/>
        <v>1.0043731349670866</v>
      </c>
      <c r="D114" s="338">
        <f t="shared" si="27"/>
        <v>9.3351564416499458E-2</v>
      </c>
      <c r="E114" s="338">
        <f t="shared" si="28"/>
        <v>1.0000000591071907</v>
      </c>
      <c r="F114" s="339">
        <f t="shared" si="29"/>
        <v>3.4382317456266678E-4</v>
      </c>
      <c r="G114" s="338">
        <f t="shared" si="30"/>
        <v>1</v>
      </c>
      <c r="H114" s="339">
        <f t="shared" si="31"/>
        <v>0</v>
      </c>
      <c r="I114" s="337">
        <f t="shared" si="32"/>
        <v>42137.596848607325</v>
      </c>
      <c r="J114" s="340">
        <f t="shared" si="33"/>
        <v>1.570772595019122</v>
      </c>
      <c r="K114" s="348">
        <f t="shared" si="34"/>
        <v>1.3916488712782114</v>
      </c>
      <c r="L114" s="349">
        <f t="shared" si="35"/>
        <v>0.76904944111619455</v>
      </c>
      <c r="M114" s="337">
        <f t="shared" si="36"/>
        <v>1.0000163539630083</v>
      </c>
      <c r="N114" s="340">
        <f t="shared" si="37"/>
        <v>5.7190453984261374E-3</v>
      </c>
      <c r="O114" s="341">
        <f t="shared" si="38"/>
        <v>1.000006581915885</v>
      </c>
      <c r="P114" s="342">
        <f t="shared" si="39"/>
        <v>8.6394386872348985E-3</v>
      </c>
      <c r="Q114" s="343">
        <f t="shared" si="40"/>
        <v>2.7679332989785617</v>
      </c>
      <c r="R114" s="344">
        <f t="shared" si="41"/>
        <v>-52.086984689595106</v>
      </c>
      <c r="S114" s="346">
        <f t="shared" si="42"/>
        <v>127.91301531040489</v>
      </c>
      <c r="U114" s="319">
        <f t="shared" si="49"/>
        <v>1000000000</v>
      </c>
      <c r="V114" s="319">
        <f t="shared" si="50"/>
        <v>33888697.959999993</v>
      </c>
      <c r="X114" s="345">
        <f t="shared" si="43"/>
        <v>8.0842805128155391</v>
      </c>
      <c r="Y114" s="346">
        <f t="shared" si="44"/>
        <v>-46.263030273591845</v>
      </c>
      <c r="AA114" s="345">
        <f t="shared" si="45"/>
        <v>32.901619799509284</v>
      </c>
      <c r="AB114" s="346">
        <f t="shared" si="46"/>
        <v>-5.8239544160032652</v>
      </c>
      <c r="AD114">
        <f t="shared" si="51"/>
        <v>0</v>
      </c>
      <c r="AE114">
        <f t="shared" si="52"/>
        <v>0</v>
      </c>
    </row>
    <row r="115" spans="1:31" x14ac:dyDescent="0.2">
      <c r="A115" s="347">
        <v>5888.4</v>
      </c>
      <c r="B115" s="364">
        <f t="shared" si="48"/>
        <v>5.8883999999999999</v>
      </c>
      <c r="C115" s="337">
        <f t="shared" si="26"/>
        <v>1.0044741518419156</v>
      </c>
      <c r="D115" s="338">
        <f t="shared" si="27"/>
        <v>9.4419633435027364E-2</v>
      </c>
      <c r="E115" s="338">
        <f t="shared" si="28"/>
        <v>1.0000000604755801</v>
      </c>
      <c r="F115" s="339">
        <f t="shared" si="29"/>
        <v>3.4778032419141016E-4</v>
      </c>
      <c r="G115" s="338">
        <f t="shared" si="30"/>
        <v>1</v>
      </c>
      <c r="H115" s="339">
        <f t="shared" si="31"/>
        <v>0</v>
      </c>
      <c r="I115" s="337">
        <f t="shared" si="32"/>
        <v>42622.569361624075</v>
      </c>
      <c r="J115" s="340">
        <f t="shared" si="33"/>
        <v>1.5707728650464599</v>
      </c>
      <c r="K115" s="348">
        <f t="shared" si="34"/>
        <v>1.3994183770754502</v>
      </c>
      <c r="L115" s="349">
        <f t="shared" si="35"/>
        <v>0.77476909348563039</v>
      </c>
      <c r="M115" s="337">
        <f t="shared" si="36"/>
        <v>1.0000167325701264</v>
      </c>
      <c r="N115" s="340">
        <f t="shared" si="37"/>
        <v>5.7848659127027269E-3</v>
      </c>
      <c r="O115" s="341">
        <f t="shared" si="38"/>
        <v>1.0000067343043708</v>
      </c>
      <c r="P115" s="342">
        <f t="shared" si="39"/>
        <v>8.7388734093168854E-3</v>
      </c>
      <c r="Q115" s="343">
        <f t="shared" si="40"/>
        <v>2.7160159130518831</v>
      </c>
      <c r="R115" s="344">
        <f t="shared" si="41"/>
        <v>-51.82972576628076</v>
      </c>
      <c r="S115" s="346">
        <f t="shared" si="42"/>
        <v>128.17027423371923</v>
      </c>
      <c r="U115" s="319">
        <f t="shared" si="49"/>
        <v>1000000000</v>
      </c>
      <c r="V115" s="319">
        <f t="shared" si="50"/>
        <v>34673254.559999995</v>
      </c>
      <c r="X115" s="345">
        <f t="shared" si="43"/>
        <v>8.0332379957458286</v>
      </c>
      <c r="Y115" s="346">
        <f t="shared" si="44"/>
        <v>-45.939105041271269</v>
      </c>
      <c r="AA115" s="345">
        <f t="shared" si="45"/>
        <v>32.900744930652323</v>
      </c>
      <c r="AB115" s="346">
        <f t="shared" si="46"/>
        <v>-5.8906207250094971</v>
      </c>
      <c r="AD115">
        <f t="shared" si="51"/>
        <v>0</v>
      </c>
      <c r="AE115">
        <f t="shared" si="52"/>
        <v>0</v>
      </c>
    </row>
    <row r="116" spans="1:31" x14ac:dyDescent="0.2">
      <c r="A116" s="347">
        <v>5957</v>
      </c>
      <c r="B116" s="364">
        <f t="shared" si="48"/>
        <v>5.9569999999999999</v>
      </c>
      <c r="C116" s="337">
        <f t="shared" si="26"/>
        <v>1.0045787680660208</v>
      </c>
      <c r="D116" s="338">
        <f t="shared" si="27"/>
        <v>9.5512984739041365E-2</v>
      </c>
      <c r="E116" s="338">
        <f t="shared" si="28"/>
        <v>1.0000000618928717</v>
      </c>
      <c r="F116" s="339">
        <f t="shared" si="29"/>
        <v>3.5183197290447924E-4</v>
      </c>
      <c r="G116" s="338">
        <f t="shared" si="30"/>
        <v>1</v>
      </c>
      <c r="H116" s="339">
        <f t="shared" si="31"/>
        <v>0</v>
      </c>
      <c r="I116" s="337">
        <f t="shared" si="32"/>
        <v>43119.123307790644</v>
      </c>
      <c r="J116" s="340">
        <f t="shared" si="33"/>
        <v>1.5707731352287566</v>
      </c>
      <c r="K116" s="348">
        <f t="shared" si="34"/>
        <v>1.4074203265610878</v>
      </c>
      <c r="L116" s="349">
        <f t="shared" si="35"/>
        <v>0.78055971072229902</v>
      </c>
      <c r="M116" s="337">
        <f t="shared" si="36"/>
        <v>1.0000171247074439</v>
      </c>
      <c r="N116" s="340">
        <f t="shared" si="37"/>
        <v>5.8522582082170364E-3</v>
      </c>
      <c r="O116" s="341">
        <f t="shared" si="38"/>
        <v>1.0000068921393011</v>
      </c>
      <c r="P116" s="342">
        <f t="shared" si="39"/>
        <v>8.8406827340822489E-3</v>
      </c>
      <c r="Q116" s="343">
        <f t="shared" si="40"/>
        <v>2.6640255618923083</v>
      </c>
      <c r="R116" s="344">
        <f t="shared" si="41"/>
        <v>-51.570070129455161</v>
      </c>
      <c r="S116" s="346">
        <f t="shared" si="42"/>
        <v>128.42992987054484</v>
      </c>
      <c r="U116" s="319">
        <f t="shared" si="49"/>
        <v>1000000000</v>
      </c>
      <c r="V116" s="319">
        <f t="shared" si="50"/>
        <v>35485849</v>
      </c>
      <c r="X116" s="345">
        <f t="shared" si="43"/>
        <v>7.9821535935888548</v>
      </c>
      <c r="Y116" s="346">
        <f t="shared" si="44"/>
        <v>-45.611203886869738</v>
      </c>
      <c r="AA116" s="345">
        <f t="shared" si="45"/>
        <v>32.899838981649715</v>
      </c>
      <c r="AB116" s="346">
        <f t="shared" si="46"/>
        <v>-5.95886624258541</v>
      </c>
      <c r="AD116">
        <f t="shared" si="51"/>
        <v>0</v>
      </c>
      <c r="AE116">
        <f t="shared" si="52"/>
        <v>0</v>
      </c>
    </row>
    <row r="117" spans="1:31" x14ac:dyDescent="0.2">
      <c r="A117" s="347">
        <v>6025.6</v>
      </c>
      <c r="B117" s="364">
        <f t="shared" si="48"/>
        <v>6.0256000000000007</v>
      </c>
      <c r="C117" s="337">
        <f t="shared" si="26"/>
        <v>1.0046845849298065</v>
      </c>
      <c r="D117" s="338">
        <f t="shared" si="27"/>
        <v>9.6606107038464131E-2</v>
      </c>
      <c r="E117" s="338">
        <f t="shared" si="28"/>
        <v>1.0000000633265793</v>
      </c>
      <c r="F117" s="339">
        <f t="shared" si="29"/>
        <v>3.5588362160599712E-4</v>
      </c>
      <c r="G117" s="338">
        <f t="shared" si="30"/>
        <v>1</v>
      </c>
      <c r="H117" s="339">
        <f t="shared" si="31"/>
        <v>0</v>
      </c>
      <c r="I117" s="337">
        <f t="shared" si="32"/>
        <v>43615.67725396029</v>
      </c>
      <c r="J117" s="340">
        <f t="shared" si="33"/>
        <v>1.5707733992591331</v>
      </c>
      <c r="K117" s="348">
        <f t="shared" si="34"/>
        <v>1.4154689341103963</v>
      </c>
      <c r="L117" s="349">
        <f t="shared" si="35"/>
        <v>0.78628466515901274</v>
      </c>
      <c r="M117" s="337">
        <f t="shared" si="36"/>
        <v>1.0000175213865572</v>
      </c>
      <c r="N117" s="340">
        <f t="shared" si="37"/>
        <v>5.9196504505721259E-3</v>
      </c>
      <c r="O117" s="341">
        <f t="shared" si="38"/>
        <v>1.0000070518028903</v>
      </c>
      <c r="P117" s="342">
        <f t="shared" si="39"/>
        <v>8.9424921019939391E-3</v>
      </c>
      <c r="Q117" s="343">
        <f t="shared" si="40"/>
        <v>2.6131823644126118</v>
      </c>
      <c r="R117" s="344">
        <f t="shared" si="41"/>
        <v>-51.31416321989358</v>
      </c>
      <c r="S117" s="346">
        <f t="shared" si="42"/>
        <v>128.68583678010643</v>
      </c>
      <c r="U117" s="319">
        <f t="shared" si="49"/>
        <v>1000000000</v>
      </c>
      <c r="V117" s="319">
        <f t="shared" si="50"/>
        <v>36307855.360000007</v>
      </c>
      <c r="X117" s="345">
        <f t="shared" si="43"/>
        <v>7.9322266466577656</v>
      </c>
      <c r="Y117" s="346">
        <f t="shared" si="44"/>
        <v>-45.287064578256071</v>
      </c>
      <c r="AA117" s="345">
        <f t="shared" si="45"/>
        <v>32.898922731101109</v>
      </c>
      <c r="AB117" s="346">
        <f t="shared" si="46"/>
        <v>-6.0270986416375045</v>
      </c>
      <c r="AD117">
        <f t="shared" si="51"/>
        <v>0</v>
      </c>
      <c r="AE117">
        <f t="shared" si="52"/>
        <v>0</v>
      </c>
    </row>
    <row r="118" spans="1:31" x14ac:dyDescent="0.2">
      <c r="A118" s="347">
        <v>6095.8</v>
      </c>
      <c r="B118" s="364">
        <f t="shared" si="48"/>
        <v>6.0958000000000006</v>
      </c>
      <c r="C118" s="337">
        <f t="shared" si="26"/>
        <v>1.004794112400758</v>
      </c>
      <c r="D118" s="338">
        <f t="shared" si="27"/>
        <v>9.772448517344727E-2</v>
      </c>
      <c r="E118" s="338">
        <f t="shared" si="28"/>
        <v>1.000000064810721</v>
      </c>
      <c r="F118" s="339">
        <f t="shared" si="29"/>
        <v>3.6002976939049683E-4</v>
      </c>
      <c r="G118" s="338">
        <f t="shared" si="30"/>
        <v>1</v>
      </c>
      <c r="H118" s="339">
        <f t="shared" si="31"/>
        <v>0</v>
      </c>
      <c r="I118" s="337">
        <f t="shared" si="32"/>
        <v>44123.81263327982</v>
      </c>
      <c r="J118" s="340">
        <f t="shared" si="33"/>
        <v>1.5707736632955205</v>
      </c>
      <c r="K118" s="348">
        <f t="shared" si="34"/>
        <v>1.4237527418088878</v>
      </c>
      <c r="L118" s="349">
        <f t="shared" si="35"/>
        <v>0.792075942077619</v>
      </c>
      <c r="M118" s="337">
        <f t="shared" si="36"/>
        <v>1.0000179320195834</v>
      </c>
      <c r="N118" s="340">
        <f t="shared" si="37"/>
        <v>5.988614467980628E-3</v>
      </c>
      <c r="O118" s="341">
        <f t="shared" si="38"/>
        <v>1.0000072170835634</v>
      </c>
      <c r="P118" s="342">
        <f t="shared" si="39"/>
        <v>9.0466760776083156E-3</v>
      </c>
      <c r="Q118" s="343">
        <f t="shared" si="40"/>
        <v>2.5623069194284565</v>
      </c>
      <c r="R118" s="344">
        <f t="shared" si="41"/>
        <v>-51.05612406183802</v>
      </c>
      <c r="S118" s="346">
        <f t="shared" si="42"/>
        <v>128.94387593816197</v>
      </c>
      <c r="U118" s="319">
        <f t="shared" si="49"/>
        <v>1000000000</v>
      </c>
      <c r="V118" s="319">
        <f t="shared" si="50"/>
        <v>37158777.640000001</v>
      </c>
      <c r="X118" s="345">
        <f t="shared" si="43"/>
        <v>7.882299480426993</v>
      </c>
      <c r="Y118" s="346">
        <f t="shared" si="44"/>
        <v>-44.959215327760191</v>
      </c>
      <c r="AA118" s="345">
        <f t="shared" si="45"/>
        <v>32.897974452347725</v>
      </c>
      <c r="AB118" s="346">
        <f t="shared" si="46"/>
        <v>-6.0969087340778296</v>
      </c>
      <c r="AD118">
        <f t="shared" si="51"/>
        <v>0</v>
      </c>
      <c r="AE118">
        <f t="shared" si="52"/>
        <v>0</v>
      </c>
    </row>
    <row r="119" spans="1:31" x14ac:dyDescent="0.2">
      <c r="A119" s="347">
        <v>6166</v>
      </c>
      <c r="B119" s="364">
        <f t="shared" si="48"/>
        <v>6.1660000000000004</v>
      </c>
      <c r="C119" s="337">
        <f t="shared" si="26"/>
        <v>1.0049048963628187</v>
      </c>
      <c r="D119" s="338">
        <f t="shared" si="27"/>
        <v>9.8842618119464626E-2</v>
      </c>
      <c r="E119" s="338">
        <f t="shared" si="28"/>
        <v>1.000000066312053</v>
      </c>
      <c r="F119" s="339">
        <f t="shared" si="29"/>
        <v>3.6417591716261826E-4</v>
      </c>
      <c r="G119" s="338">
        <f t="shared" si="30"/>
        <v>1</v>
      </c>
      <c r="H119" s="339">
        <f t="shared" si="31"/>
        <v>0</v>
      </c>
      <c r="I119" s="337">
        <f t="shared" si="32"/>
        <v>44631.948012602355</v>
      </c>
      <c r="J119" s="340">
        <f t="shared" si="33"/>
        <v>1.5707739213197915</v>
      </c>
      <c r="K119" s="348">
        <f t="shared" si="34"/>
        <v>1.4320837472368071</v>
      </c>
      <c r="L119" s="349">
        <f t="shared" si="35"/>
        <v>0.79780002876308953</v>
      </c>
      <c r="M119" s="337">
        <f t="shared" si="36"/>
        <v>1.0000183474087267</v>
      </c>
      <c r="N119" s="340">
        <f t="shared" si="37"/>
        <v>6.0575784284243664E-3</v>
      </c>
      <c r="O119" s="341">
        <f t="shared" si="38"/>
        <v>1.0000073842792314</v>
      </c>
      <c r="P119" s="342">
        <f t="shared" si="39"/>
        <v>9.1508600994576073E-3</v>
      </c>
      <c r="Q119" s="343">
        <f t="shared" si="40"/>
        <v>2.5125648932320428</v>
      </c>
      <c r="R119" s="344">
        <f t="shared" si="41"/>
        <v>-50.801920227194152</v>
      </c>
      <c r="S119" s="346">
        <f t="shared" si="42"/>
        <v>129.19807977280584</v>
      </c>
      <c r="U119" s="319">
        <f t="shared" si="49"/>
        <v>1000000000</v>
      </c>
      <c r="V119" s="319">
        <f t="shared" si="50"/>
        <v>38019556</v>
      </c>
      <c r="X119" s="345">
        <f t="shared" si="43"/>
        <v>7.833516506741808</v>
      </c>
      <c r="Y119" s="346">
        <f t="shared" si="44"/>
        <v>-44.635215446319165</v>
      </c>
      <c r="AA119" s="345">
        <f t="shared" si="45"/>
        <v>32.897015399836491</v>
      </c>
      <c r="AB119" s="346">
        <f t="shared" si="46"/>
        <v>-6.1667047808749897</v>
      </c>
      <c r="AD119">
        <f t="shared" si="51"/>
        <v>0</v>
      </c>
      <c r="AE119">
        <f t="shared" si="52"/>
        <v>0</v>
      </c>
    </row>
    <row r="120" spans="1:31" x14ac:dyDescent="0.2">
      <c r="A120" s="347">
        <v>6237.8</v>
      </c>
      <c r="B120" s="364">
        <f t="shared" si="48"/>
        <v>6.2378</v>
      </c>
      <c r="C120" s="337">
        <f t="shared" si="26"/>
        <v>1.0050195046567778</v>
      </c>
      <c r="D120" s="338">
        <f t="shared" si="27"/>
        <v>9.9985979112803547E-2</v>
      </c>
      <c r="E120" s="338">
        <f t="shared" si="28"/>
        <v>1.0000000678653862</v>
      </c>
      <c r="F120" s="339">
        <f t="shared" si="29"/>
        <v>3.6841656401630782E-4</v>
      </c>
      <c r="G120" s="338">
        <f t="shared" si="30"/>
        <v>1</v>
      </c>
      <c r="H120" s="339">
        <f t="shared" si="31"/>
        <v>0</v>
      </c>
      <c r="I120" s="337">
        <f t="shared" si="32"/>
        <v>45151.664825074848</v>
      </c>
      <c r="J120" s="340">
        <f t="shared" si="33"/>
        <v>1.5707741792173056</v>
      </c>
      <c r="K120" s="348">
        <f t="shared" si="34"/>
        <v>1.440652603243002</v>
      </c>
      <c r="L120" s="349">
        <f t="shared" si="35"/>
        <v>0.80358590168487687</v>
      </c>
      <c r="M120" s="337">
        <f t="shared" si="36"/>
        <v>1.0000187771853772</v>
      </c>
      <c r="N120" s="340">
        <f t="shared" si="37"/>
        <v>6.1281141574156296E-3</v>
      </c>
      <c r="O120" s="341">
        <f t="shared" si="38"/>
        <v>1.0000075572666096</v>
      </c>
      <c r="P120" s="342">
        <f t="shared" si="39"/>
        <v>9.2574187342898701E-3</v>
      </c>
      <c r="Q120" s="343">
        <f t="shared" si="40"/>
        <v>2.4628276464367946</v>
      </c>
      <c r="R120" s="344">
        <f t="shared" si="41"/>
        <v>-50.545842451956922</v>
      </c>
      <c r="S120" s="346">
        <f t="shared" si="42"/>
        <v>129.45415754804307</v>
      </c>
      <c r="U120" s="319">
        <f t="shared" si="49"/>
        <v>1000000000</v>
      </c>
      <c r="V120" s="319">
        <f t="shared" si="50"/>
        <v>38910148.840000004</v>
      </c>
      <c r="X120" s="345">
        <f t="shared" si="43"/>
        <v>7.7847713086310035</v>
      </c>
      <c r="Y120" s="346">
        <f t="shared" si="44"/>
        <v>-44.307765522742727</v>
      </c>
      <c r="AA120" s="345">
        <f t="shared" si="45"/>
        <v>32.896023351152053</v>
      </c>
      <c r="AB120" s="346">
        <f t="shared" si="46"/>
        <v>-6.2380769292141922</v>
      </c>
      <c r="AD120">
        <f t="shared" si="51"/>
        <v>0</v>
      </c>
      <c r="AE120">
        <f t="shared" si="52"/>
        <v>0</v>
      </c>
    </row>
    <row r="121" spans="1:31" x14ac:dyDescent="0.2">
      <c r="A121" s="347">
        <v>6309.6</v>
      </c>
      <c r="B121" s="364">
        <f t="shared" si="48"/>
        <v>6.3096000000000005</v>
      </c>
      <c r="C121" s="337">
        <f t="shared" si="26"/>
        <v>1.0051354264863519</v>
      </c>
      <c r="D121" s="338">
        <f t="shared" si="27"/>
        <v>0.1011290778735528</v>
      </c>
      <c r="E121" s="338">
        <f t="shared" si="28"/>
        <v>1.0000000694367024</v>
      </c>
      <c r="F121" s="339">
        <f t="shared" si="29"/>
        <v>3.7265721085674686E-4</v>
      </c>
      <c r="G121" s="338">
        <f t="shared" si="30"/>
        <v>1</v>
      </c>
      <c r="H121" s="339">
        <f t="shared" si="31"/>
        <v>0</v>
      </c>
      <c r="I121" s="337">
        <f t="shared" si="32"/>
        <v>45671.381637550279</v>
      </c>
      <c r="J121" s="340">
        <f t="shared" si="33"/>
        <v>1.5707744312453376</v>
      </c>
      <c r="K121" s="348">
        <f t="shared" si="34"/>
        <v>1.4492691157726585</v>
      </c>
      <c r="L121" s="349">
        <f t="shared" si="35"/>
        <v>0.80930316523157952</v>
      </c>
      <c r="M121" s="337">
        <f t="shared" si="36"/>
        <v>1.0000192119374061</v>
      </c>
      <c r="N121" s="340">
        <f t="shared" si="37"/>
        <v>6.1986498254279019E-3</v>
      </c>
      <c r="O121" s="341">
        <f t="shared" si="38"/>
        <v>1.0000077322573129</v>
      </c>
      <c r="P121" s="342">
        <f t="shared" si="39"/>
        <v>9.3639774186149854E-3</v>
      </c>
      <c r="Q121" s="343">
        <f t="shared" si="40"/>
        <v>2.4142083121701985</v>
      </c>
      <c r="R121" s="344">
        <f t="shared" si="41"/>
        <v>-50.293680342577005</v>
      </c>
      <c r="S121" s="346">
        <f t="shared" si="42"/>
        <v>129.70631965742299</v>
      </c>
      <c r="U121" s="319">
        <f t="shared" si="49"/>
        <v>1000000000</v>
      </c>
      <c r="V121" s="319">
        <f t="shared" si="50"/>
        <v>39811052.160000004</v>
      </c>
      <c r="X121" s="345">
        <f t="shared" si="43"/>
        <v>7.7371552782809232</v>
      </c>
      <c r="Y121" s="346">
        <f t="shared" si="44"/>
        <v>-43.984246287007785</v>
      </c>
      <c r="AA121" s="345">
        <f t="shared" si="45"/>
        <v>32.895020047235533</v>
      </c>
      <c r="AB121" s="346">
        <f t="shared" si="46"/>
        <v>-6.3094340555692296</v>
      </c>
      <c r="AD121">
        <f t="shared" si="51"/>
        <v>0</v>
      </c>
      <c r="AE121">
        <f t="shared" si="52"/>
        <v>0</v>
      </c>
    </row>
    <row r="122" spans="1:31" x14ac:dyDescent="0.2">
      <c r="A122" s="347">
        <v>6383.05</v>
      </c>
      <c r="B122" s="364">
        <f t="shared" si="48"/>
        <v>6.3830499999999999</v>
      </c>
      <c r="C122" s="337">
        <f t="shared" si="26"/>
        <v>1.0052553709448775</v>
      </c>
      <c r="D122" s="338">
        <f t="shared" si="27"/>
        <v>0.102298171256177</v>
      </c>
      <c r="E122" s="338">
        <f t="shared" si="28"/>
        <v>1.0000000710627361</v>
      </c>
      <c r="F122" s="339">
        <f t="shared" si="29"/>
        <v>3.7699530987393899E-4</v>
      </c>
      <c r="G122" s="338">
        <f t="shared" si="30"/>
        <v>1</v>
      </c>
      <c r="H122" s="339">
        <f t="shared" si="31"/>
        <v>0</v>
      </c>
      <c r="I122" s="337">
        <f t="shared" si="32"/>
        <v>46203.041802961576</v>
      </c>
      <c r="J122" s="340">
        <f t="shared" si="33"/>
        <v>1.5707746831982619</v>
      </c>
      <c r="K122" s="348">
        <f t="shared" si="34"/>
        <v>1.458132071026756</v>
      </c>
      <c r="L122" s="349">
        <f t="shared" si="35"/>
        <v>0.81508170391860668</v>
      </c>
      <c r="M122" s="337">
        <f t="shared" si="36"/>
        <v>1.0000196618284449</v>
      </c>
      <c r="N122" s="340">
        <f t="shared" si="37"/>
        <v>6.2708063746283599E-3</v>
      </c>
      <c r="O122" s="341">
        <f t="shared" si="38"/>
        <v>1.0000079133423236</v>
      </c>
      <c r="P122" s="342">
        <f t="shared" si="39"/>
        <v>9.4729849267394216E-3</v>
      </c>
      <c r="Q122" s="343">
        <f t="shared" si="40"/>
        <v>2.3655945310207125</v>
      </c>
      <c r="R122" s="344">
        <f t="shared" si="41"/>
        <v>-50.039724397406737</v>
      </c>
      <c r="S122" s="346">
        <f t="shared" si="42"/>
        <v>129.96027560259327</v>
      </c>
      <c r="U122" s="319">
        <f t="shared" si="49"/>
        <v>1000000000</v>
      </c>
      <c r="V122" s="319">
        <f t="shared" si="50"/>
        <v>40743327.302500002</v>
      </c>
      <c r="X122" s="345">
        <f t="shared" si="43"/>
        <v>7.6895794954936552</v>
      </c>
      <c r="Y122" s="346">
        <f t="shared" si="44"/>
        <v>-43.657309109687098</v>
      </c>
      <c r="AA122" s="345">
        <f t="shared" si="45"/>
        <v>32.893982048873319</v>
      </c>
      <c r="AB122" s="346">
        <f t="shared" si="46"/>
        <v>-6.3824152877196365</v>
      </c>
      <c r="AD122">
        <f t="shared" si="51"/>
        <v>0</v>
      </c>
      <c r="AE122">
        <f t="shared" si="52"/>
        <v>0</v>
      </c>
    </row>
    <row r="123" spans="1:31" x14ac:dyDescent="0.2">
      <c r="A123" s="347">
        <v>6456.5</v>
      </c>
      <c r="B123" s="364">
        <f t="shared" si="48"/>
        <v>6.4565000000000001</v>
      </c>
      <c r="C123" s="337">
        <f t="shared" si="26"/>
        <v>1.0053766890367419</v>
      </c>
      <c r="D123" s="338">
        <f t="shared" si="27"/>
        <v>0.10346698408865253</v>
      </c>
      <c r="E123" s="338">
        <f t="shared" si="28"/>
        <v>1.0000000727075888</v>
      </c>
      <c r="F123" s="339">
        <f t="shared" si="29"/>
        <v>3.8133340887694161E-4</v>
      </c>
      <c r="G123" s="338">
        <f t="shared" si="30"/>
        <v>1</v>
      </c>
      <c r="H123" s="339">
        <f t="shared" si="31"/>
        <v>0</v>
      </c>
      <c r="I123" s="337">
        <f t="shared" si="32"/>
        <v>46734.701968375732</v>
      </c>
      <c r="J123" s="340">
        <f t="shared" si="33"/>
        <v>1.5707749294186868</v>
      </c>
      <c r="K123" s="348">
        <f t="shared" si="34"/>
        <v>1.4670431262702157</v>
      </c>
      <c r="L123" s="349">
        <f t="shared" si="35"/>
        <v>0.82079023176003751</v>
      </c>
      <c r="M123" s="337">
        <f t="shared" si="36"/>
        <v>1.0000201169261489</v>
      </c>
      <c r="N123" s="340">
        <f t="shared" si="37"/>
        <v>6.3429628585292656E-3</v>
      </c>
      <c r="O123" s="341">
        <f t="shared" si="38"/>
        <v>1.0000080965238385</v>
      </c>
      <c r="P123" s="342">
        <f t="shared" si="39"/>
        <v>9.5819924878632473E-3</v>
      </c>
      <c r="Q123" s="343">
        <f t="shared" si="40"/>
        <v>2.3180830117544025</v>
      </c>
      <c r="R123" s="344">
        <f t="shared" si="41"/>
        <v>-49.789763374722412</v>
      </c>
      <c r="S123" s="346">
        <f t="shared" si="42"/>
        <v>130.21023662527759</v>
      </c>
      <c r="U123" s="319">
        <f t="shared" si="49"/>
        <v>1000000000</v>
      </c>
      <c r="V123" s="319">
        <f t="shared" si="50"/>
        <v>41686392.25</v>
      </c>
      <c r="X123" s="345">
        <f t="shared" si="43"/>
        <v>7.6431177364060314</v>
      </c>
      <c r="Y123" s="346">
        <f t="shared" si="44"/>
        <v>-43.334382926154383</v>
      </c>
      <c r="AA123" s="345">
        <f t="shared" si="45"/>
        <v>32.892932288694631</v>
      </c>
      <c r="AB123" s="346">
        <f t="shared" si="46"/>
        <v>-6.4553804485680173</v>
      </c>
      <c r="AD123">
        <f t="shared" si="51"/>
        <v>0</v>
      </c>
      <c r="AE123">
        <f t="shared" si="52"/>
        <v>0</v>
      </c>
    </row>
    <row r="124" spans="1:31" x14ac:dyDescent="0.2">
      <c r="A124" s="347">
        <v>6531.7</v>
      </c>
      <c r="B124" s="364">
        <f t="shared" si="48"/>
        <v>6.5316999999999998</v>
      </c>
      <c r="C124" s="337">
        <f t="shared" si="26"/>
        <v>1.005502320216634</v>
      </c>
      <c r="D124" s="338">
        <f t="shared" si="27"/>
        <v>0.1046633508578227</v>
      </c>
      <c r="E124" s="338">
        <f t="shared" si="28"/>
        <v>1.0000000744111284</v>
      </c>
      <c r="F124" s="339">
        <f t="shared" si="29"/>
        <v>3.8577486624839872E-4</v>
      </c>
      <c r="G124" s="338">
        <f t="shared" si="30"/>
        <v>1</v>
      </c>
      <c r="H124" s="339">
        <f t="shared" si="31"/>
        <v>0</v>
      </c>
      <c r="I124" s="337">
        <f t="shared" si="32"/>
        <v>47279.029326297517</v>
      </c>
      <c r="J124" s="340">
        <f t="shared" si="33"/>
        <v>1.5707751757684409</v>
      </c>
      <c r="K124" s="348">
        <f t="shared" si="34"/>
        <v>1.476215416965118</v>
      </c>
      <c r="L124" s="349">
        <f t="shared" si="35"/>
        <v>0.82656317573928928</v>
      </c>
      <c r="M124" s="337">
        <f t="shared" si="36"/>
        <v>1.0000205882611031</v>
      </c>
      <c r="N124" s="340">
        <f t="shared" si="37"/>
        <v>6.4168384550261992E-3</v>
      </c>
      <c r="O124" s="341">
        <f t="shared" si="38"/>
        <v>1.000008286241838</v>
      </c>
      <c r="P124" s="342">
        <f t="shared" si="39"/>
        <v>9.6935972894467235E-3</v>
      </c>
      <c r="Q124" s="343">
        <f t="shared" si="40"/>
        <v>2.2705476029290965</v>
      </c>
      <c r="R124" s="344">
        <f t="shared" si="41"/>
        <v>-49.537931697712565</v>
      </c>
      <c r="S124" s="346">
        <f t="shared" si="42"/>
        <v>130.46206830228743</v>
      </c>
      <c r="U124" s="319">
        <f t="shared" si="49"/>
        <v>1000000000</v>
      </c>
      <c r="V124" s="319">
        <f t="shared" si="50"/>
        <v>42663104.890000001</v>
      </c>
      <c r="X124" s="345">
        <f t="shared" si="43"/>
        <v>7.5966692756292362</v>
      </c>
      <c r="Y124" s="346">
        <f t="shared" si="44"/>
        <v>-43.007864475094188</v>
      </c>
      <c r="AA124" s="345">
        <f t="shared" si="45"/>
        <v>32.891845340646121</v>
      </c>
      <c r="AB124" s="346">
        <f t="shared" si="46"/>
        <v>-6.5300672226183698</v>
      </c>
      <c r="AD124">
        <f t="shared" si="51"/>
        <v>0</v>
      </c>
      <c r="AE124">
        <f t="shared" si="52"/>
        <v>0</v>
      </c>
    </row>
    <row r="125" spans="1:31" x14ac:dyDescent="0.2">
      <c r="A125" s="347">
        <v>6606.9</v>
      </c>
      <c r="B125" s="364">
        <f t="shared" si="48"/>
        <v>6.6068999999999996</v>
      </c>
      <c r="C125" s="337">
        <f t="shared" si="26"/>
        <v>1.0056293902046214</v>
      </c>
      <c r="D125" s="338">
        <f t="shared" si="27"/>
        <v>0.10585941699593843</v>
      </c>
      <c r="E125" s="338">
        <f t="shared" si="28"/>
        <v>1.0000000761343943</v>
      </c>
      <c r="F125" s="339">
        <f t="shared" si="29"/>
        <v>3.9021632360463574E-4</v>
      </c>
      <c r="G125" s="338">
        <f t="shared" si="30"/>
        <v>1</v>
      </c>
      <c r="H125" s="339">
        <f t="shared" si="31"/>
        <v>0</v>
      </c>
      <c r="I125" s="337">
        <f t="shared" si="32"/>
        <v>47823.356684222112</v>
      </c>
      <c r="J125" s="340">
        <f t="shared" si="33"/>
        <v>1.5707754165102699</v>
      </c>
      <c r="K125" s="348">
        <f t="shared" si="34"/>
        <v>1.4854362967951511</v>
      </c>
      <c r="L125" s="349">
        <f t="shared" si="35"/>
        <v>0.83226463641020487</v>
      </c>
      <c r="M125" s="337">
        <f t="shared" si="36"/>
        <v>1.0000210650537684</v>
      </c>
      <c r="N125" s="340">
        <f t="shared" si="37"/>
        <v>6.4907139814811155E-3</v>
      </c>
      <c r="O125" s="341">
        <f t="shared" si="38"/>
        <v>1.0000084781574849</v>
      </c>
      <c r="P125" s="342">
        <f t="shared" si="39"/>
        <v>9.8052021478785192E-3</v>
      </c>
      <c r="Q125" s="343">
        <f t="shared" si="40"/>
        <v>2.2241000243729263</v>
      </c>
      <c r="R125" s="344">
        <f t="shared" si="41"/>
        <v>-49.290178165624525</v>
      </c>
      <c r="S125" s="346">
        <f t="shared" si="42"/>
        <v>130.70982183437548</v>
      </c>
      <c r="U125" s="319">
        <f t="shared" si="49"/>
        <v>1000000000</v>
      </c>
      <c r="V125" s="319">
        <f t="shared" si="50"/>
        <v>43651127.609999992</v>
      </c>
      <c r="X125" s="345">
        <f t="shared" si="43"/>
        <v>7.5513209558221872</v>
      </c>
      <c r="Y125" s="346">
        <f t="shared" si="44"/>
        <v>-42.685441390588394</v>
      </c>
      <c r="AA125" s="345">
        <f t="shared" si="45"/>
        <v>32.890746081896999</v>
      </c>
      <c r="AB125" s="346">
        <f t="shared" si="46"/>
        <v>-6.6047367750361303</v>
      </c>
      <c r="AD125">
        <f t="shared" si="51"/>
        <v>0</v>
      </c>
      <c r="AE125">
        <f t="shared" si="52"/>
        <v>0</v>
      </c>
    </row>
    <row r="126" spans="1:31" x14ac:dyDescent="0.2">
      <c r="A126" s="347">
        <v>6683.85</v>
      </c>
      <c r="B126" s="364">
        <f t="shared" si="48"/>
        <v>6.6838500000000005</v>
      </c>
      <c r="C126" s="337">
        <f t="shared" si="26"/>
        <v>1.0057609061265409</v>
      </c>
      <c r="D126" s="338">
        <f t="shared" si="27"/>
        <v>0.10708300246302049</v>
      </c>
      <c r="E126" s="338">
        <f t="shared" si="28"/>
        <v>1.0000000779181837</v>
      </c>
      <c r="F126" s="339">
        <f t="shared" si="29"/>
        <v>3.9476113932755984E-4</v>
      </c>
      <c r="G126" s="338">
        <f t="shared" si="30"/>
        <v>1</v>
      </c>
      <c r="H126" s="339">
        <f t="shared" si="31"/>
        <v>0</v>
      </c>
      <c r="I126" s="337">
        <f t="shared" si="32"/>
        <v>48380.351234654408</v>
      </c>
      <c r="J126" s="340">
        <f t="shared" si="33"/>
        <v>1.570775657246732</v>
      </c>
      <c r="K126" s="348">
        <f t="shared" si="34"/>
        <v>1.4949211186683506</v>
      </c>
      <c r="L126" s="349">
        <f t="shared" si="35"/>
        <v>0.8380257763617126</v>
      </c>
      <c r="M126" s="337">
        <f t="shared" si="36"/>
        <v>1.0000215585917003</v>
      </c>
      <c r="N126" s="340">
        <f t="shared" si="37"/>
        <v>6.5663086123987843E-3</v>
      </c>
      <c r="O126" s="341">
        <f t="shared" si="38"/>
        <v>1.0000086768142367</v>
      </c>
      <c r="P126" s="342">
        <f t="shared" si="39"/>
        <v>9.9194042533709663E-3</v>
      </c>
      <c r="Q126" s="343">
        <f t="shared" si="40"/>
        <v>2.1776638464402067</v>
      </c>
      <c r="R126" s="344">
        <f t="shared" si="41"/>
        <v>-49.040823390456673</v>
      </c>
      <c r="S126" s="346">
        <f t="shared" si="42"/>
        <v>130.95917660954333</v>
      </c>
      <c r="U126" s="319">
        <f t="shared" si="49"/>
        <v>1000000000</v>
      </c>
      <c r="V126" s="319">
        <f t="shared" si="50"/>
        <v>44673850.822500005</v>
      </c>
      <c r="X126" s="345">
        <f t="shared" si="43"/>
        <v>7.506022351763515</v>
      </c>
      <c r="Y126" s="346">
        <f t="shared" si="44"/>
        <v>-42.359697432299271</v>
      </c>
      <c r="AA126" s="345">
        <f t="shared" si="45"/>
        <v>32.88960850802296</v>
      </c>
      <c r="AB126" s="346">
        <f t="shared" si="46"/>
        <v>-6.6811259581574021</v>
      </c>
      <c r="AD126">
        <f t="shared" si="51"/>
        <v>0</v>
      </c>
      <c r="AE126">
        <f t="shared" si="52"/>
        <v>0</v>
      </c>
    </row>
    <row r="127" spans="1:31" x14ac:dyDescent="0.2">
      <c r="A127" s="347">
        <v>6760.8</v>
      </c>
      <c r="B127" s="364">
        <f t="shared" si="48"/>
        <v>6.7608000000000006</v>
      </c>
      <c r="C127" s="337">
        <f t="shared" si="26"/>
        <v>1.005893927439798</v>
      </c>
      <c r="D127" s="338">
        <f t="shared" si="27"/>
        <v>0.10830626614261668</v>
      </c>
      <c r="E127" s="338">
        <f t="shared" si="28"/>
        <v>1.0000000797226283</v>
      </c>
      <c r="F127" s="339">
        <f t="shared" si="29"/>
        <v>3.9930595503417601E-4</v>
      </c>
      <c r="G127" s="338">
        <f t="shared" si="30"/>
        <v>1</v>
      </c>
      <c r="H127" s="339">
        <f t="shared" si="31"/>
        <v>0</v>
      </c>
      <c r="I127" s="337">
        <f t="shared" si="32"/>
        <v>48937.345785089434</v>
      </c>
      <c r="J127" s="340">
        <f t="shared" si="33"/>
        <v>1.5707758925031705</v>
      </c>
      <c r="K127" s="348">
        <f t="shared" si="34"/>
        <v>1.5044549314900122</v>
      </c>
      <c r="L127" s="349">
        <f t="shared" si="35"/>
        <v>0.84371408581280372</v>
      </c>
      <c r="M127" s="337">
        <f t="shared" si="36"/>
        <v>1.0000220578442978</v>
      </c>
      <c r="N127" s="340">
        <f t="shared" si="37"/>
        <v>6.6419031682684749E-3</v>
      </c>
      <c r="O127" s="341">
        <f t="shared" si="38"/>
        <v>1.0000088777721661</v>
      </c>
      <c r="P127" s="342">
        <f t="shared" si="39"/>
        <v>1.003360641977448E-2</v>
      </c>
      <c r="Q127" s="343">
        <f t="shared" si="40"/>
        <v>2.1322992895203869</v>
      </c>
      <c r="R127" s="344">
        <f t="shared" si="41"/>
        <v>-48.795622743731151</v>
      </c>
      <c r="S127" s="346">
        <f t="shared" si="42"/>
        <v>131.20437725626886</v>
      </c>
      <c r="U127" s="319">
        <f t="shared" si="49"/>
        <v>1000000000</v>
      </c>
      <c r="V127" s="319">
        <f t="shared" si="50"/>
        <v>45708416.640000001</v>
      </c>
      <c r="X127" s="345">
        <f t="shared" si="43"/>
        <v>7.461808239064073</v>
      </c>
      <c r="Y127" s="346">
        <f t="shared" si="44"/>
        <v>-42.038126036026455</v>
      </c>
      <c r="AA127" s="345">
        <f t="shared" si="45"/>
        <v>32.888458063802574</v>
      </c>
      <c r="AB127" s="346">
        <f t="shared" si="46"/>
        <v>-6.7574967077046901</v>
      </c>
      <c r="AD127">
        <f t="shared" si="51"/>
        <v>0</v>
      </c>
      <c r="AE127">
        <f t="shared" si="52"/>
        <v>0</v>
      </c>
    </row>
    <row r="128" spans="1:31" x14ac:dyDescent="0.2">
      <c r="A128" s="347">
        <v>6839.55</v>
      </c>
      <c r="B128" s="364">
        <f t="shared" si="48"/>
        <v>6.83955</v>
      </c>
      <c r="C128" s="337">
        <f t="shared" si="26"/>
        <v>1.0060316183635425</v>
      </c>
      <c r="D128" s="338">
        <f t="shared" si="27"/>
        <v>0.10955780732503763</v>
      </c>
      <c r="E128" s="338">
        <f t="shared" si="28"/>
        <v>1.0000000815906678</v>
      </c>
      <c r="F128" s="339">
        <f t="shared" si="29"/>
        <v>4.0395708220222911E-4</v>
      </c>
      <c r="G128" s="338">
        <f t="shared" si="30"/>
        <v>1</v>
      </c>
      <c r="H128" s="339">
        <f t="shared" si="31"/>
        <v>0</v>
      </c>
      <c r="I128" s="337">
        <f t="shared" si="32"/>
        <v>49507.369447818084</v>
      </c>
      <c r="J128" s="340">
        <f t="shared" si="33"/>
        <v>1.5707761277818766</v>
      </c>
      <c r="K128" s="348">
        <f t="shared" si="34"/>
        <v>1.5142615152460182</v>
      </c>
      <c r="L128" s="349">
        <f t="shared" si="35"/>
        <v>0.84946110429283284</v>
      </c>
      <c r="M128" s="337">
        <f t="shared" si="36"/>
        <v>1.0000225746920535</v>
      </c>
      <c r="N128" s="340">
        <f t="shared" si="37"/>
        <v>6.7192659392395623E-3</v>
      </c>
      <c r="O128" s="341">
        <f t="shared" si="38"/>
        <v>1.0000090858134463</v>
      </c>
      <c r="P128" s="342">
        <f t="shared" si="39"/>
        <v>1.0150480045679752E-2</v>
      </c>
      <c r="Q128" s="343">
        <f t="shared" si="40"/>
        <v>2.0869493831549937</v>
      </c>
      <c r="R128" s="344">
        <f t="shared" si="41"/>
        <v>-48.548926783688437</v>
      </c>
      <c r="S128" s="346">
        <f t="shared" si="42"/>
        <v>131.45107321631156</v>
      </c>
      <c r="U128" s="319">
        <f t="shared" si="49"/>
        <v>1000000000</v>
      </c>
      <c r="V128" s="319">
        <f t="shared" si="50"/>
        <v>46779444.202500001</v>
      </c>
      <c r="X128" s="345">
        <f t="shared" si="43"/>
        <v>7.4176490026337412</v>
      </c>
      <c r="Y128" s="346">
        <f t="shared" si="44"/>
        <v>-41.713292172710872</v>
      </c>
      <c r="AA128" s="345">
        <f t="shared" si="45"/>
        <v>32.887267393867518</v>
      </c>
      <c r="AB128" s="346">
        <f t="shared" si="46"/>
        <v>-6.8356346109775643</v>
      </c>
      <c r="AD128">
        <f t="shared" si="51"/>
        <v>0</v>
      </c>
      <c r="AE128">
        <f t="shared" si="52"/>
        <v>0</v>
      </c>
    </row>
    <row r="129" spans="1:31" x14ac:dyDescent="0.2">
      <c r="A129" s="347">
        <v>6918.3</v>
      </c>
      <c r="B129" s="364">
        <f t="shared" si="48"/>
        <v>6.9183000000000003</v>
      </c>
      <c r="C129" s="337">
        <f t="shared" si="26"/>
        <v>1.0061708846575501</v>
      </c>
      <c r="D129" s="338">
        <f t="shared" si="27"/>
        <v>0.1108090040097694</v>
      </c>
      <c r="E129" s="338">
        <f t="shared" si="28"/>
        <v>1.0000000834803402</v>
      </c>
      <c r="F129" s="339">
        <f t="shared" si="29"/>
        <v>4.0860820935280454E-4</v>
      </c>
      <c r="G129" s="338">
        <f t="shared" si="30"/>
        <v>1</v>
      </c>
      <c r="H129" s="339">
        <f t="shared" si="31"/>
        <v>0</v>
      </c>
      <c r="I129" s="337">
        <f t="shared" si="32"/>
        <v>50077.393110549419</v>
      </c>
      <c r="J129" s="340">
        <f t="shared" si="33"/>
        <v>1.5707763577042959</v>
      </c>
      <c r="K129" s="348">
        <f t="shared" si="34"/>
        <v>1.5241174678112821</v>
      </c>
      <c r="L129" s="349">
        <f t="shared" si="35"/>
        <v>0.85513398007578822</v>
      </c>
      <c r="M129" s="337">
        <f t="shared" si="36"/>
        <v>1.0000230975249365</v>
      </c>
      <c r="N129" s="340">
        <f t="shared" si="37"/>
        <v>6.7966286297799321E-3</v>
      </c>
      <c r="O129" s="341">
        <f t="shared" si="38"/>
        <v>1.0000092962648821</v>
      </c>
      <c r="P129" s="342">
        <f t="shared" si="39"/>
        <v>1.0267353736864597E-2</v>
      </c>
      <c r="Q129" s="343">
        <f t="shared" si="40"/>
        <v>2.0426545913634073</v>
      </c>
      <c r="R129" s="344">
        <f t="shared" si="41"/>
        <v>-48.306458841251221</v>
      </c>
      <c r="S129" s="346">
        <f t="shared" si="42"/>
        <v>131.69354115874879</v>
      </c>
      <c r="U129" s="319">
        <f t="shared" si="49"/>
        <v>1000000000</v>
      </c>
      <c r="V129" s="319">
        <f t="shared" si="50"/>
        <v>47862874.890000001</v>
      </c>
      <c r="X129" s="345">
        <f t="shared" si="43"/>
        <v>7.374558338399309</v>
      </c>
      <c r="Y129" s="346">
        <f t="shared" si="44"/>
        <v>-41.392706061523214</v>
      </c>
      <c r="AA129" s="345">
        <f t="shared" si="45"/>
        <v>32.886063266310359</v>
      </c>
      <c r="AB129" s="346">
        <f t="shared" si="46"/>
        <v>-6.9137527797280187</v>
      </c>
      <c r="AD129">
        <f t="shared" si="51"/>
        <v>0</v>
      </c>
      <c r="AE129">
        <f t="shared" si="52"/>
        <v>0</v>
      </c>
    </row>
    <row r="130" spans="1:31" x14ac:dyDescent="0.2">
      <c r="A130" s="347">
        <v>6998.9</v>
      </c>
      <c r="B130" s="364">
        <f t="shared" si="48"/>
        <v>6.9988999999999999</v>
      </c>
      <c r="C130" s="337">
        <f t="shared" si="26"/>
        <v>1.0063150532395602</v>
      </c>
      <c r="D130" s="338">
        <f t="shared" si="27"/>
        <v>0.11208923321606026</v>
      </c>
      <c r="E130" s="338">
        <f t="shared" si="28"/>
        <v>1.0000000854368063</v>
      </c>
      <c r="F130" s="339">
        <f t="shared" si="29"/>
        <v>4.1336860105940272E-4</v>
      </c>
      <c r="G130" s="338">
        <f t="shared" si="30"/>
        <v>1</v>
      </c>
      <c r="H130" s="339">
        <f t="shared" si="31"/>
        <v>0</v>
      </c>
      <c r="I130" s="337">
        <f t="shared" si="32"/>
        <v>50660.80780536028</v>
      </c>
      <c r="J130" s="340">
        <f t="shared" si="33"/>
        <v>1.5707765876702482</v>
      </c>
      <c r="K130" s="348">
        <f t="shared" si="34"/>
        <v>1.534255086176197</v>
      </c>
      <c r="L130" s="349">
        <f t="shared" si="35"/>
        <v>0.86086446156815666</v>
      </c>
      <c r="M130" s="337">
        <f t="shared" si="36"/>
        <v>1.0000236388379162</v>
      </c>
      <c r="N130" s="340">
        <f t="shared" si="37"/>
        <v>6.8758086453049629E-3</v>
      </c>
      <c r="O130" s="341">
        <f t="shared" si="38"/>
        <v>1.0000095141560394</v>
      </c>
      <c r="P130" s="342">
        <f t="shared" si="39"/>
        <v>1.0386973100605337E-2</v>
      </c>
      <c r="Q130" s="343">
        <f t="shared" si="40"/>
        <v>1.9983782165163873</v>
      </c>
      <c r="R130" s="344">
        <f t="shared" si="41"/>
        <v>-48.062608958338529</v>
      </c>
      <c r="S130" s="346">
        <f t="shared" si="42"/>
        <v>131.93739104166147</v>
      </c>
      <c r="U130" s="319">
        <f t="shared" si="49"/>
        <v>1000000000</v>
      </c>
      <c r="V130" s="319">
        <f t="shared" si="50"/>
        <v>48984601.209999993</v>
      </c>
      <c r="X130" s="345">
        <f t="shared" si="43"/>
        <v>7.3315283023687225</v>
      </c>
      <c r="Y130" s="346">
        <f t="shared" si="44"/>
        <v>-41.068923513852546</v>
      </c>
      <c r="AA130" s="345">
        <f t="shared" si="45"/>
        <v>32.884816927493922</v>
      </c>
      <c r="AB130" s="346">
        <f t="shared" si="46"/>
        <v>-6.9936854444859717</v>
      </c>
      <c r="AD130">
        <f t="shared" si="51"/>
        <v>0</v>
      </c>
      <c r="AE130">
        <f t="shared" si="52"/>
        <v>0</v>
      </c>
    </row>
    <row r="131" spans="1:31" x14ac:dyDescent="0.2">
      <c r="A131" s="347">
        <v>7079.5</v>
      </c>
      <c r="B131" s="364">
        <f t="shared" si="48"/>
        <v>7.0795000000000003</v>
      </c>
      <c r="C131" s="337">
        <f t="shared" si="26"/>
        <v>1.0064608706845908</v>
      </c>
      <c r="D131" s="338">
        <f t="shared" si="27"/>
        <v>0.11336909355676006</v>
      </c>
      <c r="E131" s="338">
        <f t="shared" si="28"/>
        <v>1.0000000874159336</v>
      </c>
      <c r="F131" s="339">
        <f t="shared" si="29"/>
        <v>4.1812899274726588E-4</v>
      </c>
      <c r="G131" s="338">
        <f t="shared" si="30"/>
        <v>1</v>
      </c>
      <c r="H131" s="339">
        <f t="shared" si="31"/>
        <v>0</v>
      </c>
      <c r="I131" s="337">
        <f t="shared" si="32"/>
        <v>51244.222500173768</v>
      </c>
      <c r="J131" s="340">
        <f t="shared" si="33"/>
        <v>1.5707768123998824</v>
      </c>
      <c r="K131" s="348">
        <f t="shared" si="34"/>
        <v>1.5444424246785</v>
      </c>
      <c r="L131" s="349">
        <f t="shared" si="35"/>
        <v>0.86651952876396388</v>
      </c>
      <c r="M131" s="337">
        <f t="shared" si="36"/>
        <v>1.0000241864205122</v>
      </c>
      <c r="N131" s="340">
        <f t="shared" si="37"/>
        <v>6.9549885746133114E-3</v>
      </c>
      <c r="O131" s="341">
        <f t="shared" si="38"/>
        <v>1.0000097345719892</v>
      </c>
      <c r="P131" s="342">
        <f t="shared" si="39"/>
        <v>1.0506592534321376E-2</v>
      </c>
      <c r="Q131" s="343">
        <f t="shared" si="40"/>
        <v>1.955140117537473</v>
      </c>
      <c r="R131" s="344">
        <f t="shared" si="41"/>
        <v>-47.82305856094866</v>
      </c>
      <c r="S131" s="346">
        <f t="shared" si="42"/>
        <v>132.17694143905135</v>
      </c>
      <c r="U131" s="319">
        <f t="shared" si="49"/>
        <v>1000000000</v>
      </c>
      <c r="V131" s="319">
        <f t="shared" si="50"/>
        <v>50119320.25</v>
      </c>
      <c r="X131" s="345">
        <f t="shared" si="43"/>
        <v>7.2895506155813159</v>
      </c>
      <c r="Y131" s="346">
        <f t="shared" si="44"/>
        <v>-40.749461582135972</v>
      </c>
      <c r="AA131" s="345">
        <f t="shared" si="45"/>
        <v>32.883556515302416</v>
      </c>
      <c r="AB131" s="346">
        <f t="shared" si="46"/>
        <v>-7.0735969788126889</v>
      </c>
      <c r="AD131">
        <f t="shared" si="51"/>
        <v>0</v>
      </c>
      <c r="AE131">
        <f t="shared" si="52"/>
        <v>0</v>
      </c>
    </row>
    <row r="132" spans="1:31" x14ac:dyDescent="0.2">
      <c r="A132" s="347">
        <v>7161.95</v>
      </c>
      <c r="B132" s="364">
        <f t="shared" si="48"/>
        <v>7.16195</v>
      </c>
      <c r="C132" s="337">
        <f t="shared" si="26"/>
        <v>1.0066117403754735</v>
      </c>
      <c r="D132" s="338">
        <f t="shared" si="27"/>
        <v>0.1146779444784982</v>
      </c>
      <c r="E132" s="338">
        <f t="shared" si="28"/>
        <v>1.0000000894639351</v>
      </c>
      <c r="F132" s="339">
        <f t="shared" si="29"/>
        <v>4.2299864898899997E-4</v>
      </c>
      <c r="G132" s="338">
        <f t="shared" si="30"/>
        <v>1</v>
      </c>
      <c r="H132" s="339">
        <f t="shared" si="31"/>
        <v>0</v>
      </c>
      <c r="I132" s="337">
        <f t="shared" si="32"/>
        <v>51841.028227066861</v>
      </c>
      <c r="J132" s="340">
        <f t="shared" si="33"/>
        <v>1.5707770370540435</v>
      </c>
      <c r="K132" s="348">
        <f t="shared" si="34"/>
        <v>1.5549140178098426</v>
      </c>
      <c r="L132" s="349">
        <f t="shared" si="35"/>
        <v>0.87222753743709669</v>
      </c>
      <c r="M132" s="337">
        <f t="shared" si="36"/>
        <v>1.0000247530588067</v>
      </c>
      <c r="N132" s="340">
        <f t="shared" si="37"/>
        <v>7.0359858190042167E-3</v>
      </c>
      <c r="O132" s="341">
        <f t="shared" si="38"/>
        <v>1.0000099626595345</v>
      </c>
      <c r="P132" s="342">
        <f t="shared" si="39"/>
        <v>1.0628957648629745E-2</v>
      </c>
      <c r="Q132" s="343">
        <f t="shared" si="40"/>
        <v>1.9119504512455796</v>
      </c>
      <c r="R132" s="344">
        <f t="shared" si="41"/>
        <v>-47.582391053956712</v>
      </c>
      <c r="S132" s="346">
        <f t="shared" si="42"/>
        <v>132.41760894604329</v>
      </c>
      <c r="U132" s="319">
        <f t="shared" si="49"/>
        <v>1000000000</v>
      </c>
      <c r="V132" s="319">
        <f t="shared" si="50"/>
        <v>51293527.802499995</v>
      </c>
      <c r="X132" s="345">
        <f t="shared" si="43"/>
        <v>7.2476648403144743</v>
      </c>
      <c r="Y132" s="346">
        <f t="shared" si="44"/>
        <v>-40.427070447364059</v>
      </c>
      <c r="AA132" s="345">
        <f t="shared" si="45"/>
        <v>32.882252624277363</v>
      </c>
      <c r="AB132" s="346">
        <f t="shared" si="46"/>
        <v>-7.1553206065926496</v>
      </c>
      <c r="AD132">
        <f t="shared" si="51"/>
        <v>0</v>
      </c>
      <c r="AE132">
        <f t="shared" si="52"/>
        <v>0</v>
      </c>
    </row>
    <row r="133" spans="1:31" x14ac:dyDescent="0.2">
      <c r="A133" s="347">
        <v>7244.4</v>
      </c>
      <c r="B133" s="364">
        <f t="shared" si="48"/>
        <v>7.2443999999999997</v>
      </c>
      <c r="C133" s="337">
        <f t="shared" si="26"/>
        <v>1.0067643339650514</v>
      </c>
      <c r="D133" s="338">
        <f t="shared" si="27"/>
        <v>0.11598640088047868</v>
      </c>
      <c r="E133" s="338">
        <f t="shared" si="28"/>
        <v>1.0000000915356504</v>
      </c>
      <c r="F133" s="339">
        <f t="shared" si="29"/>
        <v>4.2786830521067236E-4</v>
      </c>
      <c r="G133" s="338">
        <f t="shared" si="30"/>
        <v>1</v>
      </c>
      <c r="H133" s="339">
        <f t="shared" si="31"/>
        <v>0</v>
      </c>
      <c r="I133" s="337">
        <f t="shared" si="32"/>
        <v>52437.833953962501</v>
      </c>
      <c r="J133" s="340">
        <f t="shared" si="33"/>
        <v>1.5707772565945344</v>
      </c>
      <c r="K133" s="348">
        <f t="shared" si="34"/>
        <v>1.5654355934326289</v>
      </c>
      <c r="L133" s="349">
        <f t="shared" si="35"/>
        <v>0.87785899842907178</v>
      </c>
      <c r="M133" s="337">
        <f t="shared" si="36"/>
        <v>1.0000253262578098</v>
      </c>
      <c r="N133" s="340">
        <f t="shared" si="37"/>
        <v>7.1169829710737795E-3</v>
      </c>
      <c r="O133" s="341">
        <f t="shared" si="38"/>
        <v>1.0000101933891785</v>
      </c>
      <c r="P133" s="342">
        <f t="shared" si="39"/>
        <v>1.0751322837867729E-2</v>
      </c>
      <c r="Q133" s="343">
        <f t="shared" si="40"/>
        <v>1.86978064497701</v>
      </c>
      <c r="R133" s="344">
        <f t="shared" si="41"/>
        <v>-47.346086507727527</v>
      </c>
      <c r="S133" s="346">
        <f t="shared" si="42"/>
        <v>132.65391349227247</v>
      </c>
      <c r="U133" s="319">
        <f t="shared" si="49"/>
        <v>1000000000</v>
      </c>
      <c r="V133" s="319">
        <f t="shared" si="50"/>
        <v>52481331.359999992</v>
      </c>
      <c r="X133" s="345">
        <f t="shared" si="43"/>
        <v>7.2068136256973139</v>
      </c>
      <c r="Y133" s="346">
        <f t="shared" si="44"/>
        <v>-40.10906487337769</v>
      </c>
      <c r="AA133" s="345">
        <f t="shared" si="45"/>
        <v>32.880934032625959</v>
      </c>
      <c r="AB133" s="346">
        <f t="shared" si="46"/>
        <v>-7.2370216343498361</v>
      </c>
      <c r="AD133">
        <f t="shared" si="51"/>
        <v>0</v>
      </c>
      <c r="AE133">
        <f t="shared" si="52"/>
        <v>0</v>
      </c>
    </row>
    <row r="134" spans="1:31" x14ac:dyDescent="0.2">
      <c r="A134" s="347">
        <v>7328.75</v>
      </c>
      <c r="B134" s="364">
        <f t="shared" si="48"/>
        <v>7.3287500000000003</v>
      </c>
      <c r="C134" s="337">
        <f t="shared" si="26"/>
        <v>1.0069222270904707</v>
      </c>
      <c r="D134" s="338">
        <f t="shared" si="27"/>
        <v>0.11732459695863171</v>
      </c>
      <c r="E134" s="338">
        <f t="shared" si="28"/>
        <v>1.000000093679646</v>
      </c>
      <c r="F134" s="339">
        <f t="shared" si="29"/>
        <v>4.3285017908049076E-4</v>
      </c>
      <c r="G134" s="338">
        <f t="shared" si="30"/>
        <v>1</v>
      </c>
      <c r="H134" s="339">
        <f t="shared" si="31"/>
        <v>0</v>
      </c>
      <c r="I134" s="337">
        <f t="shared" si="32"/>
        <v>53048.392632723677</v>
      </c>
      <c r="J134" s="340">
        <f t="shared" si="33"/>
        <v>1.5707774760823598</v>
      </c>
      <c r="K134" s="348">
        <f t="shared" si="34"/>
        <v>1.5762503107973969</v>
      </c>
      <c r="L134" s="349">
        <f t="shared" si="35"/>
        <v>0.88354224820057659</v>
      </c>
      <c r="M134" s="337">
        <f t="shared" si="36"/>
        <v>1.0000259194549841</v>
      </c>
      <c r="N134" s="340">
        <f t="shared" si="37"/>
        <v>7.1998465466793062E-3</v>
      </c>
      <c r="O134" s="341">
        <f t="shared" si="38"/>
        <v>1.0000104321699865</v>
      </c>
      <c r="P134" s="342">
        <f t="shared" si="39"/>
        <v>1.0876507921912543E-2</v>
      </c>
      <c r="Q134" s="343">
        <f t="shared" si="40"/>
        <v>1.8276612311794269</v>
      </c>
      <c r="R134" s="344">
        <f t="shared" si="41"/>
        <v>-47.108780714580149</v>
      </c>
      <c r="S134" s="346">
        <f t="shared" si="42"/>
        <v>132.89121928541985</v>
      </c>
      <c r="U134" s="319">
        <f t="shared" si="49"/>
        <v>1000000000</v>
      </c>
      <c r="V134" s="319">
        <f t="shared" si="50"/>
        <v>53710576.5625</v>
      </c>
      <c r="X134" s="345">
        <f t="shared" si="43"/>
        <v>7.1660583881690307</v>
      </c>
      <c r="Y134" s="346">
        <f t="shared" si="44"/>
        <v>-39.788198956068747</v>
      </c>
      <c r="AA134" s="345">
        <f t="shared" si="45"/>
        <v>32.879569856356653</v>
      </c>
      <c r="AB134" s="346">
        <f t="shared" si="46"/>
        <v>-7.3205817585113957</v>
      </c>
      <c r="AD134">
        <f t="shared" si="51"/>
        <v>0</v>
      </c>
      <c r="AE134">
        <f t="shared" si="52"/>
        <v>0</v>
      </c>
    </row>
    <row r="135" spans="1:31" x14ac:dyDescent="0.2">
      <c r="A135" s="347">
        <v>7413.1</v>
      </c>
      <c r="B135" s="364">
        <f t="shared" si="48"/>
        <v>7.4131</v>
      </c>
      <c r="C135" s="337">
        <f t="shared" si="26"/>
        <v>1.0070819228134478</v>
      </c>
      <c r="D135" s="338">
        <f t="shared" si="27"/>
        <v>0.1186623710290063</v>
      </c>
      <c r="E135" s="338">
        <f t="shared" si="28"/>
        <v>1.0000000958484609</v>
      </c>
      <c r="F135" s="339">
        <f t="shared" si="29"/>
        <v>4.3783205292882319E-4</v>
      </c>
      <c r="G135" s="338">
        <f t="shared" si="30"/>
        <v>1</v>
      </c>
      <c r="H135" s="339">
        <f t="shared" si="31"/>
        <v>0</v>
      </c>
      <c r="I135" s="337">
        <f t="shared" si="32"/>
        <v>53658.951311487348</v>
      </c>
      <c r="J135" s="340">
        <f t="shared" si="33"/>
        <v>1.5707776905752984</v>
      </c>
      <c r="K135" s="348">
        <f t="shared" si="34"/>
        <v>1.5871152452026369</v>
      </c>
      <c r="L135" s="349">
        <f t="shared" si="35"/>
        <v>0.88914786518779354</v>
      </c>
      <c r="M135" s="337">
        <f t="shared" si="36"/>
        <v>1.0000265195186999</v>
      </c>
      <c r="N135" s="340">
        <f t="shared" si="37"/>
        <v>7.2827100234095906E-3</v>
      </c>
      <c r="O135" s="341">
        <f t="shared" si="38"/>
        <v>1.0000106737161476</v>
      </c>
      <c r="P135" s="342">
        <f t="shared" si="39"/>
        <v>1.1001693086205839E-2</v>
      </c>
      <c r="Q135" s="343">
        <f t="shared" si="40"/>
        <v>1.7865430191126954</v>
      </c>
      <c r="R135" s="344">
        <f t="shared" si="41"/>
        <v>-46.875898485812783</v>
      </c>
      <c r="S135" s="346">
        <f t="shared" si="42"/>
        <v>133.1241015141872</v>
      </c>
      <c r="U135" s="319">
        <f t="shared" si="49"/>
        <v>1000000000</v>
      </c>
      <c r="V135" s="319">
        <f t="shared" si="50"/>
        <v>54954051.610000007</v>
      </c>
      <c r="X135" s="345">
        <f t="shared" si="43"/>
        <v>7.1263197096748518</v>
      </c>
      <c r="Y135" s="346">
        <f t="shared" si="44"/>
        <v>-39.471780777805357</v>
      </c>
      <c r="AA135" s="345">
        <f t="shared" si="45"/>
        <v>32.878190322784107</v>
      </c>
      <c r="AB135" s="346">
        <f t="shared" si="46"/>
        <v>-7.4041177080074316</v>
      </c>
      <c r="AD135">
        <f t="shared" si="51"/>
        <v>0</v>
      </c>
      <c r="AE135">
        <f t="shared" si="52"/>
        <v>0</v>
      </c>
    </row>
    <row r="136" spans="1:31" x14ac:dyDescent="0.2">
      <c r="A136" s="347">
        <v>7499.45</v>
      </c>
      <c r="B136" s="364">
        <f t="shared" si="48"/>
        <v>7.4994499999999995</v>
      </c>
      <c r="C136" s="337">
        <f t="shared" si="26"/>
        <v>1.00724727135887</v>
      </c>
      <c r="D136" s="338">
        <f t="shared" si="27"/>
        <v>0.12003142277409964</v>
      </c>
      <c r="E136" s="338">
        <f t="shared" si="28"/>
        <v>1.0000000980944088</v>
      </c>
      <c r="F136" s="339">
        <f t="shared" si="29"/>
        <v>4.4293205061589407E-4</v>
      </c>
      <c r="G136" s="338">
        <f t="shared" si="30"/>
        <v>1</v>
      </c>
      <c r="H136" s="339">
        <f t="shared" si="31"/>
        <v>0</v>
      </c>
      <c r="I136" s="337">
        <f t="shared" si="32"/>
        <v>54283.986781688327</v>
      </c>
      <c r="J136" s="340">
        <f t="shared" si="33"/>
        <v>1.5707779051560424</v>
      </c>
      <c r="K136" s="348">
        <f t="shared" si="34"/>
        <v>1.598288743075863</v>
      </c>
      <c r="L136" s="349">
        <f t="shared" si="35"/>
        <v>0.89480726875147754</v>
      </c>
      <c r="M136" s="337">
        <f t="shared" si="36"/>
        <v>1.0000271409230395</v>
      </c>
      <c r="N136" s="340">
        <f t="shared" si="37"/>
        <v>7.367538149981815E-3</v>
      </c>
      <c r="O136" s="341">
        <f t="shared" si="38"/>
        <v>1.0000109238540718</v>
      </c>
      <c r="P136" s="342">
        <f t="shared" si="39"/>
        <v>1.1129846566106685E-2</v>
      </c>
      <c r="Q136" s="343">
        <f t="shared" si="40"/>
        <v>1.7454539266681282</v>
      </c>
      <c r="R136" s="344">
        <f t="shared" si="41"/>
        <v>-46.642002467106835</v>
      </c>
      <c r="S136" s="346">
        <f t="shared" si="42"/>
        <v>133.35799753289317</v>
      </c>
      <c r="U136" s="319">
        <f t="shared" si="49"/>
        <v>1000000000</v>
      </c>
      <c r="V136" s="319">
        <f t="shared" si="50"/>
        <v>56241750.302499995</v>
      </c>
      <c r="X136" s="345">
        <f t="shared" si="43"/>
        <v>7.0866587529987584</v>
      </c>
      <c r="Y136" s="346">
        <f t="shared" si="44"/>
        <v>-39.152393426887599</v>
      </c>
      <c r="AA136" s="345">
        <f t="shared" si="45"/>
        <v>32.876762187015629</v>
      </c>
      <c r="AB136" s="346">
        <f t="shared" si="46"/>
        <v>-7.4896090402192259</v>
      </c>
      <c r="AD136">
        <f t="shared" si="51"/>
        <v>0</v>
      </c>
      <c r="AE136">
        <f t="shared" si="52"/>
        <v>0</v>
      </c>
    </row>
    <row r="137" spans="1:31" x14ac:dyDescent="0.2">
      <c r="A137" s="347">
        <v>7585.8</v>
      </c>
      <c r="B137" s="364">
        <f t="shared" si="48"/>
        <v>7.5857999999999999</v>
      </c>
      <c r="C137" s="337">
        <f t="shared" si="26"/>
        <v>1.0074145071687661</v>
      </c>
      <c r="D137" s="338">
        <f t="shared" si="27"/>
        <v>0.12140002254488338</v>
      </c>
      <c r="E137" s="338">
        <f t="shared" si="28"/>
        <v>1.0000001003663666</v>
      </c>
      <c r="F137" s="339">
        <f t="shared" si="29"/>
        <v>4.4803204827992363E-4</v>
      </c>
      <c r="G137" s="338">
        <f t="shared" si="30"/>
        <v>1</v>
      </c>
      <c r="H137" s="339">
        <f t="shared" si="31"/>
        <v>0</v>
      </c>
      <c r="I137" s="337">
        <f t="shared" si="32"/>
        <v>54909.022251891765</v>
      </c>
      <c r="J137" s="340">
        <f t="shared" si="33"/>
        <v>1.570778114851594</v>
      </c>
      <c r="K137" s="348">
        <f t="shared" si="34"/>
        <v>1.6095127205915021</v>
      </c>
      <c r="L137" s="349">
        <f t="shared" si="35"/>
        <v>0.90038791700270115</v>
      </c>
      <c r="M137" s="337">
        <f t="shared" si="36"/>
        <v>1.0000277695233766</v>
      </c>
      <c r="N137" s="340">
        <f t="shared" si="37"/>
        <v>7.4523661705214305E-3</v>
      </c>
      <c r="O137" s="341">
        <f t="shared" si="38"/>
        <v>1.0000111768901296</v>
      </c>
      <c r="P137" s="342">
        <f t="shared" si="39"/>
        <v>1.1258000132064593E-2</v>
      </c>
      <c r="Q137" s="343">
        <f t="shared" si="40"/>
        <v>1.7053482360507948</v>
      </c>
      <c r="R137" s="344">
        <f t="shared" si="41"/>
        <v>-46.412592618159714</v>
      </c>
      <c r="S137" s="346">
        <f t="shared" si="42"/>
        <v>133.58740738184028</v>
      </c>
      <c r="U137" s="319">
        <f t="shared" si="49"/>
        <v>1000000000</v>
      </c>
      <c r="V137" s="319">
        <f t="shared" si="50"/>
        <v>57544361.640000001</v>
      </c>
      <c r="X137" s="345">
        <f t="shared" si="43"/>
        <v>7.0479972609654693</v>
      </c>
      <c r="Y137" s="346">
        <f t="shared" si="44"/>
        <v>-38.837518137017085</v>
      </c>
      <c r="AA137" s="345">
        <f t="shared" si="45"/>
        <v>32.87531798843159</v>
      </c>
      <c r="AB137" s="346">
        <f t="shared" si="46"/>
        <v>-7.5750744811426296</v>
      </c>
      <c r="AD137">
        <f t="shared" si="51"/>
        <v>0</v>
      </c>
      <c r="AE137">
        <f t="shared" si="52"/>
        <v>0</v>
      </c>
    </row>
    <row r="138" spans="1:31" x14ac:dyDescent="0.2">
      <c r="A138" s="347">
        <v>7674.15</v>
      </c>
      <c r="B138" s="364">
        <f t="shared" si="48"/>
        <v>7.67415</v>
      </c>
      <c r="C138" s="337">
        <f t="shared" si="26"/>
        <v>1.0075875687779949</v>
      </c>
      <c r="D138" s="338">
        <f t="shared" si="27"/>
        <v>0.12279984830071716</v>
      </c>
      <c r="E138" s="338">
        <f t="shared" si="28"/>
        <v>1.0000001027178671</v>
      </c>
      <c r="F138" s="339">
        <f t="shared" si="29"/>
        <v>4.5325016978002602E-4</v>
      </c>
      <c r="G138" s="338">
        <f t="shared" si="30"/>
        <v>1</v>
      </c>
      <c r="H138" s="339">
        <f t="shared" si="31"/>
        <v>0</v>
      </c>
      <c r="I138" s="337">
        <f t="shared" si="32"/>
        <v>55548.534513532577</v>
      </c>
      <c r="J138" s="340">
        <f t="shared" si="33"/>
        <v>1.5707783245197906</v>
      </c>
      <c r="K138" s="348">
        <f t="shared" si="34"/>
        <v>1.6210478161412791</v>
      </c>
      <c r="L138" s="349">
        <f t="shared" si="35"/>
        <v>0.9060176567253968</v>
      </c>
      <c r="M138" s="337">
        <f t="shared" si="36"/>
        <v>1.0000284201309919</v>
      </c>
      <c r="N138" s="340">
        <f t="shared" si="37"/>
        <v>7.5391588286369297E-3</v>
      </c>
      <c r="O138" s="341">
        <f t="shared" si="38"/>
        <v>1.000011438786542</v>
      </c>
      <c r="P138" s="342">
        <f t="shared" si="39"/>
        <v>1.1389122023584846E-2</v>
      </c>
      <c r="Q138" s="343">
        <f t="shared" si="40"/>
        <v>1.6652986605795279</v>
      </c>
      <c r="R138" s="344">
        <f t="shared" si="41"/>
        <v>-46.182435020644533</v>
      </c>
      <c r="S138" s="346">
        <f t="shared" si="42"/>
        <v>133.81756497935547</v>
      </c>
      <c r="U138" s="319">
        <f t="shared" si="49"/>
        <v>1000000000</v>
      </c>
      <c r="V138" s="319">
        <f t="shared" si="50"/>
        <v>58892578.222499996</v>
      </c>
      <c r="X138" s="345">
        <f t="shared" si="43"/>
        <v>7.0094419423217644</v>
      </c>
      <c r="Y138" s="346">
        <f t="shared" si="44"/>
        <v>-38.519942676892086</v>
      </c>
      <c r="AA138" s="345">
        <f t="shared" si="45"/>
        <v>32.87382373160402</v>
      </c>
      <c r="AB138" s="346">
        <f t="shared" si="46"/>
        <v>-7.6624923437524446</v>
      </c>
      <c r="AD138">
        <f t="shared" si="51"/>
        <v>0</v>
      </c>
      <c r="AE138">
        <f t="shared" si="52"/>
        <v>0</v>
      </c>
    </row>
    <row r="139" spans="1:31" x14ac:dyDescent="0.2">
      <c r="A139" s="347">
        <v>7762.5</v>
      </c>
      <c r="B139" s="364">
        <f t="shared" si="48"/>
        <v>7.7625000000000002</v>
      </c>
      <c r="C139" s="337">
        <f t="shared" si="26"/>
        <v>1.0077626040869323</v>
      </c>
      <c r="D139" s="338">
        <f t="shared" si="27"/>
        <v>0.12419919053459082</v>
      </c>
      <c r="E139" s="338">
        <f t="shared" si="28"/>
        <v>1.0000001050965963</v>
      </c>
      <c r="F139" s="339">
        <f t="shared" si="29"/>
        <v>4.5846829125544556E-4</v>
      </c>
      <c r="G139" s="338">
        <f t="shared" si="30"/>
        <v>1</v>
      </c>
      <c r="H139" s="339">
        <f t="shared" si="31"/>
        <v>0</v>
      </c>
      <c r="I139" s="337">
        <f t="shared" si="32"/>
        <v>56188.046775175782</v>
      </c>
      <c r="J139" s="340">
        <f t="shared" si="33"/>
        <v>1.5707785294152501</v>
      </c>
      <c r="K139" s="348">
        <f t="shared" si="34"/>
        <v>1.6326335621916608</v>
      </c>
      <c r="L139" s="349">
        <f t="shared" si="35"/>
        <v>0.91156766902518693</v>
      </c>
      <c r="M139" s="337">
        <f t="shared" si="36"/>
        <v>1.0000290782717769</v>
      </c>
      <c r="N139" s="340">
        <f t="shared" si="37"/>
        <v>7.6259513731659796E-3</v>
      </c>
      <c r="O139" s="341">
        <f t="shared" si="38"/>
        <v>1.0000117037169916</v>
      </c>
      <c r="P139" s="342">
        <f t="shared" si="39"/>
        <v>1.1520244007292431E-2</v>
      </c>
      <c r="Q139" s="343">
        <f t="shared" si="40"/>
        <v>1.6262132098106941</v>
      </c>
      <c r="R139" s="344">
        <f t="shared" si="41"/>
        <v>-45.956817489528511</v>
      </c>
      <c r="S139" s="346">
        <f t="shared" si="42"/>
        <v>134.0431825104715</v>
      </c>
      <c r="U139" s="319">
        <f t="shared" si="49"/>
        <v>1000000000</v>
      </c>
      <c r="V139" s="319">
        <f t="shared" si="50"/>
        <v>60256406.25</v>
      </c>
      <c r="X139" s="345">
        <f t="shared" si="43"/>
        <v>6.9718675295571009</v>
      </c>
      <c r="Y139" s="346">
        <f t="shared" si="44"/>
        <v>-38.206934981650548</v>
      </c>
      <c r="AA139" s="345">
        <f t="shared" si="45"/>
        <v>32.872312693599859</v>
      </c>
      <c r="AB139" s="346">
        <f t="shared" si="46"/>
        <v>-7.7498825078779712</v>
      </c>
      <c r="AD139">
        <f t="shared" si="51"/>
        <v>0</v>
      </c>
      <c r="AE139">
        <f t="shared" si="52"/>
        <v>0</v>
      </c>
    </row>
    <row r="140" spans="1:31" x14ac:dyDescent="0.2">
      <c r="A140" s="347">
        <v>7852.9</v>
      </c>
      <c r="B140" s="364">
        <f t="shared" si="48"/>
        <v>7.8529</v>
      </c>
      <c r="C140" s="337">
        <f t="shared" si="26"/>
        <v>1.0079437426223103</v>
      </c>
      <c r="D140" s="338">
        <f t="shared" si="27"/>
        <v>0.12563049601008713</v>
      </c>
      <c r="E140" s="338">
        <f t="shared" si="28"/>
        <v>1.0000001075587033</v>
      </c>
      <c r="F140" s="339">
        <f t="shared" si="29"/>
        <v>4.6380748966059002E-4</v>
      </c>
      <c r="G140" s="338">
        <f t="shared" si="30"/>
        <v>1</v>
      </c>
      <c r="H140" s="339">
        <f t="shared" si="31"/>
        <v>0</v>
      </c>
      <c r="I140" s="337">
        <f t="shared" si="32"/>
        <v>56842.397748042284</v>
      </c>
      <c r="J140" s="340">
        <f t="shared" si="33"/>
        <v>1.5707787342928266</v>
      </c>
      <c r="K140" s="348">
        <f t="shared" si="34"/>
        <v>1.644539444642096</v>
      </c>
      <c r="L140" s="349">
        <f t="shared" si="35"/>
        <v>0.91716534030971109</v>
      </c>
      <c r="M140" s="337">
        <f t="shared" si="36"/>
        <v>1.0000297594808865</v>
      </c>
      <c r="N140" s="340">
        <f t="shared" si="37"/>
        <v>7.7147576608581157E-3</v>
      </c>
      <c r="O140" s="341">
        <f t="shared" si="38"/>
        <v>1.0000119779351715</v>
      </c>
      <c r="P140" s="342">
        <f t="shared" si="39"/>
        <v>1.1654408533102803E-2</v>
      </c>
      <c r="Q140" s="343">
        <f t="shared" si="40"/>
        <v>1.5871862543823538</v>
      </c>
      <c r="R140" s="344">
        <f t="shared" si="41"/>
        <v>-45.730583424159235</v>
      </c>
      <c r="S140" s="346">
        <f t="shared" si="42"/>
        <v>134.26941657584075</v>
      </c>
      <c r="U140" s="319">
        <f t="shared" si="49"/>
        <v>1000000000</v>
      </c>
      <c r="V140" s="319">
        <f t="shared" si="50"/>
        <v>61668038.409999996</v>
      </c>
      <c r="X140" s="345">
        <f t="shared" si="43"/>
        <v>6.9344040243665468</v>
      </c>
      <c r="Y140" s="346">
        <f t="shared" si="44"/>
        <v>-37.891312005684512</v>
      </c>
      <c r="AA140" s="345">
        <f t="shared" si="45"/>
        <v>32.87074924336207</v>
      </c>
      <c r="AB140" s="346">
        <f t="shared" si="46"/>
        <v>-7.8392714184747261</v>
      </c>
      <c r="AD140">
        <f t="shared" si="51"/>
        <v>0</v>
      </c>
      <c r="AE140">
        <f t="shared" si="52"/>
        <v>0</v>
      </c>
    </row>
    <row r="141" spans="1:31" x14ac:dyDescent="0.2">
      <c r="A141" s="347">
        <v>7943.3</v>
      </c>
      <c r="B141" s="364">
        <f t="shared" si="48"/>
        <v>7.9432999999999998</v>
      </c>
      <c r="C141" s="337">
        <f t="shared" ref="C141:C204" si="53">SQRT(1+(A141/pole1)^2)</f>
        <v>1.0081269453223787</v>
      </c>
      <c r="D141" s="338">
        <f t="shared" ref="D141:D204" si="54">ATAN(A141/pole1)</f>
        <v>0.12706128420552901</v>
      </c>
      <c r="E141" s="338">
        <f t="shared" ref="E141:E204" si="55">SQRT(1+(A141/Zero1)^2)</f>
        <v>1.0000001100493174</v>
      </c>
      <c r="F141" s="339">
        <f t="shared" ref="F141:F204" si="56">ATAN(A141/Zero1)</f>
        <v>4.6914668803929094E-4</v>
      </c>
      <c r="G141" s="338">
        <f t="shared" ref="G141:G204" si="57">IF(VIN_nom&gt;Vout, 1, SQRT(1+(A141/z_RHP)^2))</f>
        <v>1</v>
      </c>
      <c r="H141" s="339">
        <f t="shared" ref="H141:H204" si="58">IF(VIN_nom&gt;Vout, 0, -ATAN(A141/z_RHP))</f>
        <v>0</v>
      </c>
      <c r="I141" s="337">
        <f t="shared" ref="I141:I204" si="59">SQRT(1+(A141/Pole2)^2)</f>
        <v>57496.748720911128</v>
      </c>
      <c r="J141" s="340">
        <f t="shared" ref="J141:J204" si="60">ATAN(A141/Pole2)</f>
        <v>1.5707789345071186</v>
      </c>
      <c r="K141" s="348">
        <f t="shared" ref="K141:K147" si="61">SQRT(1+(A141/Zero2)^2)</f>
        <v>1.6564961153017288</v>
      </c>
      <c r="L141" s="349">
        <f t="shared" ref="L141:L147" si="62">ATAN(A141/Zero2)</f>
        <v>0.92268237386001983</v>
      </c>
      <c r="M141" s="337">
        <f t="shared" ref="M141:M204" si="63">SQRT(1+(A141/pole4)^2)</f>
        <v>1.0000304485767764</v>
      </c>
      <c r="N141" s="340">
        <f t="shared" ref="N141:N204" si="64">ATAN(A141/pole4)</f>
        <v>7.8035638268622587E-3</v>
      </c>
      <c r="O141" s="341">
        <f t="shared" ref="O141:O204" si="65">SQRT((1-(V141/pterm2))^2+(A141/pterm1)^2)</f>
        <v>1.0000122553299273</v>
      </c>
      <c r="P141" s="342">
        <f t="shared" ref="P141:P204" si="66">IF((ATAN((A141/pterm1)/(1-A141^2/pterm2))&gt;0),ATAN((A141/pterm1)/(1-A141^2/pterm2)),PI()+ATAN((A141/pterm1)/(1-A141^2/pterm2)))</f>
        <v>1.1788573157675212E-2</v>
      </c>
      <c r="Q141" s="343">
        <f t="shared" ref="Q141:Q204" si="67">20*LOG10(((E141*K141*G141)/(C141*I141*O141*M141))*Adc)</f>
        <v>1.5491038697882342</v>
      </c>
      <c r="R141" s="344">
        <f t="shared" ref="R141:R204" si="68">((F141+L141+H141)-(D141+J141+P141+N141))*radconv</f>
        <v>-45.50893965417275</v>
      </c>
      <c r="S141" s="346">
        <f t="shared" ref="S141:S204" si="69">IF(R141&gt;0,R141,R141+180)</f>
        <v>134.49106034582724</v>
      </c>
      <c r="U141" s="319">
        <f t="shared" si="49"/>
        <v>1000000000</v>
      </c>
      <c r="V141" s="319">
        <f t="shared" si="50"/>
        <v>63096014.890000001</v>
      </c>
      <c r="X141" s="345">
        <f t="shared" ref="X141:X204" si="70">20*LOG10((K141/(I141*M141))*AEA)</f>
        <v>6.8979026214239134</v>
      </c>
      <c r="Y141" s="346">
        <f t="shared" ref="Y141:Y204" si="71">(L141-(J141+N141))*radconv</f>
        <v>-37.580308957405087</v>
      </c>
      <c r="AA141" s="345">
        <f t="shared" ref="AA141:AA204" si="72">20*LOG10((E141*G141/(C141*O141))*Acs*Am)</f>
        <v>32.869168261710577</v>
      </c>
      <c r="AB141" s="346">
        <f t="shared" ref="AB141:AB204" si="73">(F141+H141-(D141+P141))*radconv</f>
        <v>-7.9286306967676667</v>
      </c>
      <c r="AD141">
        <f t="shared" si="51"/>
        <v>0</v>
      </c>
      <c r="AE141">
        <f t="shared" si="52"/>
        <v>0</v>
      </c>
    </row>
    <row r="142" spans="1:31" x14ac:dyDescent="0.2">
      <c r="A142" s="347">
        <v>8035.8</v>
      </c>
      <c r="B142" s="364">
        <f t="shared" ref="B142:B205" si="74">A142/1000</f>
        <v>8.0358000000000001</v>
      </c>
      <c r="C142" s="337">
        <f t="shared" si="53"/>
        <v>1.0083165393113869</v>
      </c>
      <c r="D142" s="338">
        <f t="shared" si="54"/>
        <v>0.12852476847817568</v>
      </c>
      <c r="E142" s="338">
        <f t="shared" si="55"/>
        <v>1.0000001126272968</v>
      </c>
      <c r="F142" s="339">
        <f t="shared" si="56"/>
        <v>4.7460991644113486E-4</v>
      </c>
      <c r="G142" s="338">
        <f t="shared" si="57"/>
        <v>1</v>
      </c>
      <c r="H142" s="339">
        <f t="shared" si="58"/>
        <v>0</v>
      </c>
      <c r="I142" s="337">
        <f t="shared" si="59"/>
        <v>58166.300324789205</v>
      </c>
      <c r="J142" s="340">
        <f t="shared" si="60"/>
        <v>1.5707791347095403</v>
      </c>
      <c r="K142" s="348">
        <f t="shared" si="61"/>
        <v>1.668781973322877</v>
      </c>
      <c r="L142" s="349">
        <f t="shared" si="62"/>
        <v>0.92824556086852306</v>
      </c>
      <c r="M142" s="337">
        <f t="shared" si="63"/>
        <v>1.0000311618441324</v>
      </c>
      <c r="N142" s="340">
        <f t="shared" si="64"/>
        <v>7.894432840539669E-3</v>
      </c>
      <c r="O142" s="341">
        <f t="shared" si="65"/>
        <v>1.0000125424567659</v>
      </c>
      <c r="P142" s="342">
        <f t="shared" si="66"/>
        <v>1.1925854541764832E-2</v>
      </c>
      <c r="Q142" s="343">
        <f t="shared" si="67"/>
        <v>1.5110823181910658</v>
      </c>
      <c r="R142" s="344">
        <f t="shared" si="68"/>
        <v>-45.286814495606272</v>
      </c>
      <c r="S142" s="346">
        <f t="shared" si="69"/>
        <v>134.71318550439372</v>
      </c>
      <c r="U142" s="319">
        <f t="shared" ref="U142:U205" si="75">IF(Q142&lt;0,A142,1000000000)</f>
        <v>1000000000</v>
      </c>
      <c r="V142" s="319">
        <f t="shared" ref="V142:V205" si="76">A142^2</f>
        <v>64574081.640000001</v>
      </c>
      <c r="X142" s="345">
        <f t="shared" si="70"/>
        <v>6.86151690473244</v>
      </c>
      <c r="Y142" s="346">
        <f t="shared" si="71"/>
        <v>-37.266779702543623</v>
      </c>
      <c r="AA142" s="345">
        <f t="shared" si="72"/>
        <v>32.867532426804885</v>
      </c>
      <c r="AB142" s="346">
        <f t="shared" si="73"/>
        <v>-8.0200347930626474</v>
      </c>
      <c r="AD142">
        <f t="shared" ref="AD142:AD205" si="77">SUM((Q143&lt;0)*(Q142&gt;0))*A142</f>
        <v>0</v>
      </c>
      <c r="AE142">
        <f t="shared" si="52"/>
        <v>0</v>
      </c>
    </row>
    <row r="143" spans="1:31" x14ac:dyDescent="0.2">
      <c r="A143" s="347">
        <v>8128.3</v>
      </c>
      <c r="B143" s="364">
        <f t="shared" si="74"/>
        <v>8.1282999999999994</v>
      </c>
      <c r="C143" s="337">
        <f t="shared" si="53"/>
        <v>1.0085082920841779</v>
      </c>
      <c r="D143" s="338">
        <f t="shared" si="54"/>
        <v>0.12998769936381413</v>
      </c>
      <c r="E143" s="338">
        <f t="shared" si="55"/>
        <v>1.0000001152351232</v>
      </c>
      <c r="F143" s="339">
        <f t="shared" si="56"/>
        <v>4.8007314481464749E-4</v>
      </c>
      <c r="G143" s="338">
        <f t="shared" si="57"/>
        <v>1</v>
      </c>
      <c r="H143" s="339">
        <f t="shared" si="58"/>
        <v>0</v>
      </c>
      <c r="I143" s="337">
        <f t="shared" si="59"/>
        <v>58835.851928669559</v>
      </c>
      <c r="J143" s="340">
        <f t="shared" si="60"/>
        <v>1.5707793303553574</v>
      </c>
      <c r="K143" s="348">
        <f t="shared" si="61"/>
        <v>1.6811187227452034</v>
      </c>
      <c r="L143" s="349">
        <f t="shared" si="62"/>
        <v>0.93372726549850715</v>
      </c>
      <c r="M143" s="337">
        <f t="shared" si="63"/>
        <v>1.0000318833689117</v>
      </c>
      <c r="N143" s="340">
        <f t="shared" si="64"/>
        <v>7.9853017238430916E-3</v>
      </c>
      <c r="O143" s="341">
        <f t="shared" si="65"/>
        <v>1.0000128329095956</v>
      </c>
      <c r="P143" s="342">
        <f t="shared" si="66"/>
        <v>1.2063136031665424E-2</v>
      </c>
      <c r="Q143" s="343">
        <f t="shared" si="67"/>
        <v>1.4739855066400018</v>
      </c>
      <c r="R143" s="344">
        <f t="shared" si="68"/>
        <v>-45.069325964218962</v>
      </c>
      <c r="S143" s="346">
        <f t="shared" si="69"/>
        <v>134.93067403578104</v>
      </c>
      <c r="U143" s="319">
        <f t="shared" si="75"/>
        <v>1000000000</v>
      </c>
      <c r="V143" s="319">
        <f t="shared" si="76"/>
        <v>66069260.890000001</v>
      </c>
      <c r="X143" s="345">
        <f t="shared" si="70"/>
        <v>6.8260742424080245</v>
      </c>
      <c r="Y143" s="346">
        <f t="shared" si="71"/>
        <v>-36.957918775537244</v>
      </c>
      <c r="AA143" s="345">
        <f t="shared" si="72"/>
        <v>32.86587827757824</v>
      </c>
      <c r="AB143" s="346">
        <f t="shared" si="73"/>
        <v>-8.1114071886817278</v>
      </c>
      <c r="AD143">
        <f t="shared" si="77"/>
        <v>0</v>
      </c>
      <c r="AE143">
        <f t="shared" si="52"/>
        <v>0</v>
      </c>
    </row>
    <row r="144" spans="1:31" x14ac:dyDescent="0.2">
      <c r="A144" s="347">
        <v>8222.9500000000007</v>
      </c>
      <c r="B144" s="364">
        <f t="shared" si="74"/>
        <v>8.2229500000000009</v>
      </c>
      <c r="C144" s="337">
        <f t="shared" si="53"/>
        <v>1.0087067351615842</v>
      </c>
      <c r="D144" s="338">
        <f t="shared" si="54"/>
        <v>0.13148405447673789</v>
      </c>
      <c r="E144" s="338">
        <f t="shared" si="55"/>
        <v>1.0000001179344595</v>
      </c>
      <c r="F144" s="339">
        <f t="shared" si="56"/>
        <v>4.8566335630447231E-4</v>
      </c>
      <c r="G144" s="338">
        <f t="shared" si="57"/>
        <v>1</v>
      </c>
      <c r="H144" s="339">
        <f t="shared" si="58"/>
        <v>0</v>
      </c>
      <c r="I144" s="337">
        <f t="shared" si="59"/>
        <v>59520.966083345098</v>
      </c>
      <c r="J144" s="340">
        <f t="shared" si="60"/>
        <v>1.570779525992325</v>
      </c>
      <c r="K144" s="348">
        <f t="shared" si="61"/>
        <v>1.693793737686538</v>
      </c>
      <c r="L144" s="349">
        <f t="shared" si="62"/>
        <v>0.9392535549558414</v>
      </c>
      <c r="M144" s="337">
        <f t="shared" si="63"/>
        <v>1.0000326302117959</v>
      </c>
      <c r="N144" s="340">
        <f t="shared" si="64"/>
        <v>8.0782825581845984E-3</v>
      </c>
      <c r="O144" s="341">
        <f t="shared" si="65"/>
        <v>1.0000131335564035</v>
      </c>
      <c r="P144" s="342">
        <f t="shared" si="66"/>
        <v>1.2203608499427105E-2</v>
      </c>
      <c r="Q144" s="343">
        <f t="shared" si="67"/>
        <v>1.4369517389917381</v>
      </c>
      <c r="R144" s="344">
        <f t="shared" si="68"/>
        <v>-44.851494536892027</v>
      </c>
      <c r="S144" s="346">
        <f t="shared" si="69"/>
        <v>135.14850546310797</v>
      </c>
      <c r="U144" s="319">
        <f t="shared" si="75"/>
        <v>1000000000</v>
      </c>
      <c r="V144" s="319">
        <f t="shared" si="76"/>
        <v>67616906.702500015</v>
      </c>
      <c r="X144" s="345">
        <f t="shared" si="70"/>
        <v>6.7907520075734817</v>
      </c>
      <c r="Y144" s="346">
        <f t="shared" si="71"/>
        <v>-36.646624331464572</v>
      </c>
      <c r="AA144" s="345">
        <f t="shared" si="72"/>
        <v>32.864166744764518</v>
      </c>
      <c r="AB144" s="346">
        <f t="shared" si="73"/>
        <v>-8.2048702054274578</v>
      </c>
      <c r="AD144">
        <f t="shared" si="77"/>
        <v>0</v>
      </c>
      <c r="AE144">
        <f t="shared" si="52"/>
        <v>0</v>
      </c>
    </row>
    <row r="145" spans="1:31" x14ac:dyDescent="0.2">
      <c r="A145" s="347">
        <v>8270.2750000000015</v>
      </c>
      <c r="B145" s="364">
        <f t="shared" si="74"/>
        <v>8.2702750000000016</v>
      </c>
      <c r="C145" s="337">
        <f t="shared" si="53"/>
        <v>1.0088068034149962</v>
      </c>
      <c r="D145" s="338">
        <f t="shared" si="54"/>
        <v>0.13223201043407476</v>
      </c>
      <c r="E145" s="338">
        <f t="shared" si="55"/>
        <v>1.0000001192958463</v>
      </c>
      <c r="F145" s="339">
        <f t="shared" si="56"/>
        <v>4.8845846203802372E-4</v>
      </c>
      <c r="G145" s="338">
        <f t="shared" si="57"/>
        <v>1</v>
      </c>
      <c r="H145" s="339">
        <f t="shared" si="58"/>
        <v>0</v>
      </c>
      <c r="I145" s="337">
        <f t="shared" si="59"/>
        <v>59863.523160683711</v>
      </c>
      <c r="J145" s="340">
        <f t="shared" si="60"/>
        <v>1.5707796221315682</v>
      </c>
      <c r="K145" s="348">
        <f t="shared" si="61"/>
        <v>1.7001504261653162</v>
      </c>
      <c r="L145" s="349">
        <f t="shared" si="62"/>
        <v>0.94198575817799124</v>
      </c>
      <c r="M145" s="337">
        <f t="shared" si="63"/>
        <v>1.0000330068753784</v>
      </c>
      <c r="N145" s="340">
        <f t="shared" si="64"/>
        <v>8.1247729230745497E-3</v>
      </c>
      <c r="O145" s="341">
        <f t="shared" si="65"/>
        <v>1.0000132851857524</v>
      </c>
      <c r="P145" s="342">
        <f t="shared" si="66"/>
        <v>1.2273844775738578E-2</v>
      </c>
      <c r="Q145" s="343">
        <f t="shared" si="67"/>
        <v>1.4187760162329688</v>
      </c>
      <c r="R145" s="344">
        <f t="shared" si="68"/>
        <v>-44.744338847494063</v>
      </c>
      <c r="S145" s="346">
        <f t="shared" si="69"/>
        <v>135.25566115250592</v>
      </c>
      <c r="U145" s="319">
        <f t="shared" si="75"/>
        <v>1000000000</v>
      </c>
      <c r="V145" s="319">
        <f t="shared" si="76"/>
        <v>68397448.575625017</v>
      </c>
      <c r="X145" s="345">
        <f t="shared" si="70"/>
        <v>6.7734392266609955</v>
      </c>
      <c r="Y145" s="346">
        <f t="shared" si="71"/>
        <v>-36.492749827956608</v>
      </c>
      <c r="AA145" s="345">
        <f t="shared" si="72"/>
        <v>32.863303802918232</v>
      </c>
      <c r="AB145" s="346">
        <f t="shared" si="73"/>
        <v>-8.2515890195374499</v>
      </c>
      <c r="AD145">
        <f t="shared" si="77"/>
        <v>0</v>
      </c>
      <c r="AE145">
        <f t="shared" si="52"/>
        <v>0</v>
      </c>
    </row>
    <row r="146" spans="1:31" x14ac:dyDescent="0.2">
      <c r="A146" s="347">
        <v>8317.6</v>
      </c>
      <c r="B146" s="364">
        <f t="shared" si="74"/>
        <v>8.3176000000000005</v>
      </c>
      <c r="C146" s="337">
        <f t="shared" si="53"/>
        <v>1.0089074359212469</v>
      </c>
      <c r="D146" s="338">
        <f t="shared" si="54"/>
        <v>0.13297981760139235</v>
      </c>
      <c r="E146" s="338">
        <f t="shared" si="55"/>
        <v>1.000000120665046</v>
      </c>
      <c r="F146" s="339">
        <f t="shared" si="56"/>
        <v>4.9125356776394261E-4</v>
      </c>
      <c r="G146" s="338">
        <f t="shared" si="57"/>
        <v>1</v>
      </c>
      <c r="H146" s="339">
        <f t="shared" si="58"/>
        <v>0</v>
      </c>
      <c r="I146" s="337">
        <f t="shared" si="59"/>
        <v>60206.080238022856</v>
      </c>
      <c r="J146" s="340">
        <f t="shared" si="60"/>
        <v>1.5707797171767968</v>
      </c>
      <c r="K146" s="348">
        <f t="shared" si="61"/>
        <v>1.7065197115502371</v>
      </c>
      <c r="L146" s="349">
        <f t="shared" si="62"/>
        <v>0.94469758657990699</v>
      </c>
      <c r="M146" s="337">
        <f t="shared" si="63"/>
        <v>1.0000333857003847</v>
      </c>
      <c r="N146" s="340">
        <f t="shared" si="64"/>
        <v>8.1712632528427344E-3</v>
      </c>
      <c r="O146" s="341">
        <f t="shared" si="65"/>
        <v>1.0000134376857419</v>
      </c>
      <c r="P146" s="342">
        <f t="shared" si="66"/>
        <v>1.2344081080554506E-2</v>
      </c>
      <c r="Q146" s="343">
        <f t="shared" si="67"/>
        <v>1.4008226089416118</v>
      </c>
      <c r="R146" s="344">
        <f t="shared" si="68"/>
        <v>-44.638341961203899</v>
      </c>
      <c r="S146" s="346">
        <f t="shared" si="69"/>
        <v>135.36165803879609</v>
      </c>
      <c r="U146" s="319">
        <f t="shared" si="75"/>
        <v>1000000000</v>
      </c>
      <c r="V146" s="319">
        <f t="shared" si="76"/>
        <v>69182469.760000005</v>
      </c>
      <c r="X146" s="345">
        <f t="shared" si="70"/>
        <v>6.7563535410135174</v>
      </c>
      <c r="Y146" s="346">
        <f t="shared" si="71"/>
        <v>-36.340042650962992</v>
      </c>
      <c r="AA146" s="345">
        <f t="shared" si="72"/>
        <v>32.862436081274353</v>
      </c>
      <c r="AB146" s="346">
        <f t="shared" si="73"/>
        <v>-8.2982993102409139</v>
      </c>
      <c r="AD146">
        <f t="shared" si="77"/>
        <v>0</v>
      </c>
      <c r="AE146">
        <f t="shared" si="52"/>
        <v>0</v>
      </c>
    </row>
    <row r="147" spans="1:31" x14ac:dyDescent="0.2">
      <c r="A147" s="347">
        <v>8366.0499999999993</v>
      </c>
      <c r="B147" s="364">
        <f t="shared" si="74"/>
        <v>8.3660499999999995</v>
      </c>
      <c r="C147" s="337">
        <f t="shared" si="53"/>
        <v>1.0090110449983185</v>
      </c>
      <c r="D147" s="338">
        <f t="shared" si="54"/>
        <v>0.13374524652001413</v>
      </c>
      <c r="E147" s="338">
        <f t="shared" si="55"/>
        <v>1.0000001220748873</v>
      </c>
      <c r="F147" s="339">
        <f t="shared" si="56"/>
        <v>4.9411511815051297E-4</v>
      </c>
      <c r="G147" s="338">
        <f t="shared" si="57"/>
        <v>1</v>
      </c>
      <c r="H147" s="339">
        <f t="shared" si="58"/>
        <v>0</v>
      </c>
      <c r="I147" s="337">
        <f t="shared" si="59"/>
        <v>60556.780510544944</v>
      </c>
      <c r="J147" s="340">
        <f t="shared" si="60"/>
        <v>1.5707798133674717</v>
      </c>
      <c r="K147" s="348">
        <f t="shared" si="61"/>
        <v>1.7130533091825135</v>
      </c>
      <c r="L147" s="349">
        <f t="shared" si="62"/>
        <v>0.94745296879840846</v>
      </c>
      <c r="M147" s="337">
        <f t="shared" si="63"/>
        <v>1.000033775769843</v>
      </c>
      <c r="N147" s="340">
        <f t="shared" si="64"/>
        <v>8.2188587044109244E-3</v>
      </c>
      <c r="O147" s="341">
        <f t="shared" si="65"/>
        <v>1.0000135947128697</v>
      </c>
      <c r="P147" s="342">
        <f t="shared" si="66"/>
        <v>1.2415987057814794E-2</v>
      </c>
      <c r="Q147" s="343">
        <f t="shared" si="67"/>
        <v>1.3826688080587823</v>
      </c>
      <c r="R147" s="344">
        <f t="shared" si="68"/>
        <v>-44.531014519647378</v>
      </c>
      <c r="S147" s="346">
        <f t="shared" si="69"/>
        <v>135.46898548035261</v>
      </c>
      <c r="U147" s="319">
        <f t="shared" si="75"/>
        <v>1000000000</v>
      </c>
      <c r="V147" s="319">
        <f t="shared" si="76"/>
        <v>69990792.602499992</v>
      </c>
      <c r="X147" s="345">
        <f t="shared" si="70"/>
        <v>6.7390930376391989</v>
      </c>
      <c r="Y147" s="346">
        <f t="shared" si="71"/>
        <v>-36.184903408538773</v>
      </c>
      <c r="AA147" s="345">
        <f t="shared" si="72"/>
        <v>32.861542783765849</v>
      </c>
      <c r="AB147" s="346">
        <f t="shared" si="73"/>
        <v>-8.3461111111086002</v>
      </c>
      <c r="AD147">
        <f t="shared" si="77"/>
        <v>0</v>
      </c>
      <c r="AE147">
        <f t="shared" si="52"/>
        <v>0</v>
      </c>
    </row>
    <row r="148" spans="1:31" x14ac:dyDescent="0.2">
      <c r="A148" s="350">
        <v>8414.5</v>
      </c>
      <c r="B148" s="364">
        <f t="shared" si="74"/>
        <v>8.4145000000000003</v>
      </c>
      <c r="C148" s="337">
        <f t="shared" si="53"/>
        <v>1.0091152451146288</v>
      </c>
      <c r="D148" s="338">
        <f t="shared" si="54"/>
        <v>0.13451051781224191</v>
      </c>
      <c r="E148" s="338">
        <f t="shared" si="55"/>
        <v>1.0000001234929172</v>
      </c>
      <c r="F148" s="339">
        <f t="shared" si="56"/>
        <v>4.9697666852899117E-4</v>
      </c>
      <c r="G148" s="338">
        <f t="shared" si="57"/>
        <v>1</v>
      </c>
      <c r="H148" s="339">
        <f t="shared" si="58"/>
        <v>0</v>
      </c>
      <c r="I148" s="337">
        <f t="shared" si="59"/>
        <v>60907.4807830676</v>
      </c>
      <c r="J148" s="340">
        <f t="shared" si="60"/>
        <v>1.5707799084504308</v>
      </c>
      <c r="K148" s="348">
        <f t="shared" ref="K148:K157" si="78">SQRT(1+(A148/Zero2)^2)</f>
        <v>1.7195998136526922</v>
      </c>
      <c r="L148" s="349">
        <f t="shared" ref="L148:L157" si="79">ATAN(A148/Zero2)</f>
        <v>0.95018739220391524</v>
      </c>
      <c r="M148" s="337">
        <f t="shared" si="63"/>
        <v>1.0000341681047031</v>
      </c>
      <c r="N148" s="340">
        <f t="shared" si="64"/>
        <v>8.2664541187415039E-3</v>
      </c>
      <c r="O148" s="341">
        <f t="shared" si="65"/>
        <v>1.000013752652541</v>
      </c>
      <c r="P148" s="342">
        <f t="shared" si="66"/>
        <v>1.2487893065296645E-2</v>
      </c>
      <c r="Q148" s="343">
        <f t="shared" si="67"/>
        <v>1.3647401451104479</v>
      </c>
      <c r="R148" s="344">
        <f t="shared" si="68"/>
        <v>-44.42487883442432</v>
      </c>
      <c r="S148" s="346">
        <f t="shared" si="69"/>
        <v>135.57512116557569</v>
      </c>
      <c r="U148" s="319">
        <f t="shared" si="75"/>
        <v>1000000000</v>
      </c>
      <c r="V148" s="319">
        <f t="shared" si="76"/>
        <v>70803810.25</v>
      </c>
      <c r="X148" s="345">
        <f t="shared" si="70"/>
        <v>6.722062675801336</v>
      </c>
      <c r="Y148" s="346">
        <f t="shared" si="71"/>
        <v>-36.030964952043121</v>
      </c>
      <c r="AA148" s="345">
        <f t="shared" si="72"/>
        <v>32.860644482655374</v>
      </c>
      <c r="AB148" s="346">
        <f t="shared" si="73"/>
        <v>-8.3939138823811934</v>
      </c>
      <c r="AD148">
        <f t="shared" si="77"/>
        <v>0</v>
      </c>
      <c r="AE148">
        <f t="shared" si="52"/>
        <v>0</v>
      </c>
    </row>
    <row r="149" spans="1:31" x14ac:dyDescent="0.2">
      <c r="A149" s="350">
        <v>8462.9500000000007</v>
      </c>
      <c r="B149" s="364">
        <f t="shared" si="74"/>
        <v>8.4629500000000011</v>
      </c>
      <c r="C149" s="337">
        <f t="shared" si="53"/>
        <v>1.0092200360871066</v>
      </c>
      <c r="D149" s="338">
        <f t="shared" si="54"/>
        <v>0.13527563063069187</v>
      </c>
      <c r="E149" s="338">
        <f t="shared" si="55"/>
        <v>1.0000001249191355</v>
      </c>
      <c r="F149" s="339">
        <f t="shared" si="56"/>
        <v>4.9983821889933047E-4</v>
      </c>
      <c r="G149" s="338">
        <f t="shared" si="57"/>
        <v>1</v>
      </c>
      <c r="H149" s="339">
        <f t="shared" si="58"/>
        <v>0</v>
      </c>
      <c r="I149" s="337">
        <f t="shared" si="59"/>
        <v>61258.181055590801</v>
      </c>
      <c r="J149" s="340">
        <f t="shared" si="60"/>
        <v>1.5707800024446985</v>
      </c>
      <c r="K149" s="348">
        <f t="shared" si="78"/>
        <v>1.7261590781121956</v>
      </c>
      <c r="L149" s="349">
        <f t="shared" si="79"/>
        <v>0.95290105459726149</v>
      </c>
      <c r="M149" s="337">
        <f t="shared" si="63"/>
        <v>1.0000345627049623</v>
      </c>
      <c r="N149" s="340">
        <f t="shared" si="64"/>
        <v>8.3140494956188745E-3</v>
      </c>
      <c r="O149" s="341">
        <f t="shared" si="65"/>
        <v>1.000013911504765</v>
      </c>
      <c r="P149" s="342">
        <f t="shared" si="66"/>
        <v>1.2559799103174974E-2</v>
      </c>
      <c r="Q149" s="343">
        <f t="shared" si="67"/>
        <v>1.3470327556972974</v>
      </c>
      <c r="R149" s="344">
        <f t="shared" si="68"/>
        <v>-44.319923524917911</v>
      </c>
      <c r="S149" s="346">
        <f t="shared" si="69"/>
        <v>135.6800764750821</v>
      </c>
      <c r="U149" s="319">
        <f t="shared" si="75"/>
        <v>1000000000</v>
      </c>
      <c r="V149" s="319">
        <f t="shared" si="76"/>
        <v>71621522.702500015</v>
      </c>
      <c r="X149" s="345">
        <f t="shared" si="70"/>
        <v>6.7052585879681192</v>
      </c>
      <c r="Y149" s="346">
        <f t="shared" si="71"/>
        <v>-35.878215949400712</v>
      </c>
      <c r="AA149" s="345">
        <f t="shared" si="72"/>
        <v>32.859741181075435</v>
      </c>
      <c r="AB149" s="346">
        <f t="shared" si="73"/>
        <v>-8.4417075755171993</v>
      </c>
      <c r="AD149">
        <f t="shared" si="77"/>
        <v>0</v>
      </c>
      <c r="AE149">
        <f t="shared" si="52"/>
        <v>0</v>
      </c>
    </row>
    <row r="150" spans="1:31" x14ac:dyDescent="0.2">
      <c r="A150" s="350">
        <v>8511.4</v>
      </c>
      <c r="B150" s="364">
        <f t="shared" si="74"/>
        <v>8.5114000000000001</v>
      </c>
      <c r="C150" s="337">
        <f t="shared" si="53"/>
        <v>1.0093254177317188</v>
      </c>
      <c r="D150" s="338">
        <f t="shared" si="54"/>
        <v>0.13604058412907322</v>
      </c>
      <c r="E150" s="338">
        <f t="shared" si="55"/>
        <v>1.0000001263535423</v>
      </c>
      <c r="F150" s="339">
        <f t="shared" si="56"/>
        <v>5.0269976926148384E-4</v>
      </c>
      <c r="G150" s="338">
        <f t="shared" si="57"/>
        <v>1</v>
      </c>
      <c r="H150" s="339">
        <f t="shared" si="58"/>
        <v>0</v>
      </c>
      <c r="I150" s="337">
        <f t="shared" si="59"/>
        <v>61608.881328114527</v>
      </c>
      <c r="J150" s="340">
        <f t="shared" si="60"/>
        <v>1.5707800953688671</v>
      </c>
      <c r="K150" s="348">
        <f t="shared" si="78"/>
        <v>1.7327309576519585</v>
      </c>
      <c r="L150" s="349">
        <f t="shared" si="79"/>
        <v>0.95559415201023856</v>
      </c>
      <c r="M150" s="337">
        <f t="shared" si="63"/>
        <v>1.0000349595706177</v>
      </c>
      <c r="N150" s="340">
        <f t="shared" si="64"/>
        <v>8.3616448348274412E-3</v>
      </c>
      <c r="O150" s="341">
        <f t="shared" si="65"/>
        <v>1.0000140712695511</v>
      </c>
      <c r="P150" s="342">
        <f t="shared" si="66"/>
        <v>1.2631705171624706E-2</v>
      </c>
      <c r="Q150" s="343">
        <f t="shared" si="67"/>
        <v>1.3295428525613118</v>
      </c>
      <c r="R150" s="344">
        <f t="shared" si="68"/>
        <v>-44.216137311907893</v>
      </c>
      <c r="S150" s="346">
        <f t="shared" si="69"/>
        <v>135.78386268809211</v>
      </c>
      <c r="U150" s="319">
        <f t="shared" si="75"/>
        <v>1000000000</v>
      </c>
      <c r="V150" s="319">
        <f t="shared" si="76"/>
        <v>72443929.959999993</v>
      </c>
      <c r="X150" s="345">
        <f t="shared" si="70"/>
        <v>6.6886769837331181</v>
      </c>
      <c r="Y150" s="346">
        <f t="shared" si="71"/>
        <v>-35.726645169870146</v>
      </c>
      <c r="AA150" s="345">
        <f t="shared" si="72"/>
        <v>32.858832882174454</v>
      </c>
      <c r="AB150" s="346">
        <f t="shared" si="73"/>
        <v>-8.4894921420377507</v>
      </c>
      <c r="AD150">
        <f t="shared" si="77"/>
        <v>0</v>
      </c>
      <c r="AE150">
        <f t="shared" si="52"/>
        <v>0</v>
      </c>
    </row>
    <row r="151" spans="1:31" x14ac:dyDescent="0.2">
      <c r="A151" s="350">
        <v>8560.9500000000007</v>
      </c>
      <c r="B151" s="364">
        <f t="shared" si="74"/>
        <v>8.5609500000000001</v>
      </c>
      <c r="C151" s="337">
        <f t="shared" si="53"/>
        <v>1.0094338026893939</v>
      </c>
      <c r="D151" s="338">
        <f t="shared" si="54"/>
        <v>0.13682273932504826</v>
      </c>
      <c r="E151" s="338">
        <f t="shared" si="55"/>
        <v>1.000000127828985</v>
      </c>
      <c r="F151" s="339">
        <f t="shared" si="56"/>
        <v>5.0562628773479922E-4</v>
      </c>
      <c r="G151" s="338">
        <f t="shared" si="57"/>
        <v>1</v>
      </c>
      <c r="H151" s="339">
        <f t="shared" si="58"/>
        <v>0</v>
      </c>
      <c r="I151" s="337">
        <f t="shared" si="59"/>
        <v>61967.543835928307</v>
      </c>
      <c r="J151" s="340">
        <f t="shared" si="60"/>
        <v>1.5707801893148847</v>
      </c>
      <c r="K151" s="348">
        <f t="shared" si="78"/>
        <v>1.7394649428880964</v>
      </c>
      <c r="L151" s="349">
        <f t="shared" si="79"/>
        <v>0.95832732482302829</v>
      </c>
      <c r="M151" s="337">
        <f t="shared" si="63"/>
        <v>1.0000353677897664</v>
      </c>
      <c r="N151" s="340">
        <f t="shared" si="64"/>
        <v>8.410320730786609E-3</v>
      </c>
      <c r="O151" s="341">
        <f t="shared" si="65"/>
        <v>1.000014235605492</v>
      </c>
      <c r="P151" s="342">
        <f t="shared" si="66"/>
        <v>1.2705243814194887E-2</v>
      </c>
      <c r="Q151" s="343">
        <f t="shared" si="67"/>
        <v>1.3118769429570332</v>
      </c>
      <c r="R151" s="344">
        <f t="shared" si="68"/>
        <v>-44.111192319394824</v>
      </c>
      <c r="S151" s="346">
        <f t="shared" si="69"/>
        <v>135.88880768060517</v>
      </c>
      <c r="U151" s="319">
        <f t="shared" si="75"/>
        <v>1000000000</v>
      </c>
      <c r="V151" s="319">
        <f t="shared" si="76"/>
        <v>73289864.902500018</v>
      </c>
      <c r="X151" s="345">
        <f t="shared" si="70"/>
        <v>6.6719451603817879</v>
      </c>
      <c r="Y151" s="346">
        <f t="shared" si="71"/>
        <v>-35.572840208954439</v>
      </c>
      <c r="AA151" s="345">
        <f t="shared" si="72"/>
        <v>32.857898795921507</v>
      </c>
      <c r="AB151" s="346">
        <f t="shared" si="73"/>
        <v>-8.5383521104403854</v>
      </c>
      <c r="AD151">
        <f t="shared" si="77"/>
        <v>0</v>
      </c>
      <c r="AE151">
        <f t="shared" si="52"/>
        <v>0</v>
      </c>
    </row>
    <row r="152" spans="1:31" x14ac:dyDescent="0.2">
      <c r="A152" s="350">
        <v>8610.5</v>
      </c>
      <c r="B152" s="364">
        <f t="shared" si="74"/>
        <v>8.6105</v>
      </c>
      <c r="C152" s="337">
        <f t="shared" si="53"/>
        <v>1.0095428050522874</v>
      </c>
      <c r="D152" s="338">
        <f t="shared" si="54"/>
        <v>0.13760472609759825</v>
      </c>
      <c r="E152" s="338">
        <f t="shared" si="55"/>
        <v>1.0000001293129923</v>
      </c>
      <c r="F152" s="339">
        <f t="shared" si="56"/>
        <v>5.0855280619945345E-4</v>
      </c>
      <c r="G152" s="338">
        <f t="shared" si="57"/>
        <v>1</v>
      </c>
      <c r="H152" s="339">
        <f t="shared" si="58"/>
        <v>0</v>
      </c>
      <c r="I152" s="337">
        <f t="shared" si="59"/>
        <v>62326.206343742611</v>
      </c>
      <c r="J152" s="340">
        <f t="shared" si="60"/>
        <v>1.5707802821796584</v>
      </c>
      <c r="K152" s="348">
        <f t="shared" si="78"/>
        <v>1.7462118220572072</v>
      </c>
      <c r="L152" s="349">
        <f t="shared" si="79"/>
        <v>0.96103939731894417</v>
      </c>
      <c r="M152" s="337">
        <f t="shared" si="63"/>
        <v>1.0000357783783396</v>
      </c>
      <c r="N152" s="340">
        <f t="shared" si="64"/>
        <v>8.4589965868909992E-3</v>
      </c>
      <c r="O152" s="341">
        <f t="shared" si="65"/>
        <v>1.0000144008959218</v>
      </c>
      <c r="P152" s="342">
        <f t="shared" si="66"/>
        <v>1.2778782489110459E-2</v>
      </c>
      <c r="Q152" s="343">
        <f t="shared" si="67"/>
        <v>1.294430734397235</v>
      </c>
      <c r="R152" s="344">
        <f t="shared" si="68"/>
        <v>-44.007446573654484</v>
      </c>
      <c r="S152" s="346">
        <f t="shared" si="69"/>
        <v>135.99255342634552</v>
      </c>
      <c r="U152" s="319">
        <f t="shared" si="75"/>
        <v>1000000000</v>
      </c>
      <c r="V152" s="319">
        <f t="shared" si="76"/>
        <v>74140710.25</v>
      </c>
      <c r="X152" s="345">
        <f t="shared" si="70"/>
        <v>6.6554382581769307</v>
      </c>
      <c r="Y152" s="346">
        <f t="shared" si="71"/>
        <v>-35.420244142909148</v>
      </c>
      <c r="AA152" s="345">
        <f t="shared" si="72"/>
        <v>32.85695948956657</v>
      </c>
      <c r="AB152" s="346">
        <f t="shared" si="73"/>
        <v>-8.5872024307453287</v>
      </c>
      <c r="AD152">
        <f t="shared" si="77"/>
        <v>0</v>
      </c>
      <c r="AE152">
        <f t="shared" si="52"/>
        <v>0</v>
      </c>
    </row>
    <row r="153" spans="1:31" x14ac:dyDescent="0.2">
      <c r="A153" s="350">
        <v>8660.0499999999993</v>
      </c>
      <c r="B153" s="364">
        <f t="shared" si="74"/>
        <v>8.66005</v>
      </c>
      <c r="C153" s="337">
        <f t="shared" si="53"/>
        <v>1.0096524246204341</v>
      </c>
      <c r="D153" s="338">
        <f t="shared" si="54"/>
        <v>0.13838654354505281</v>
      </c>
      <c r="E153" s="338">
        <f t="shared" si="55"/>
        <v>1.0000001308055639</v>
      </c>
      <c r="F153" s="339">
        <f t="shared" si="56"/>
        <v>5.1147932465539676E-4</v>
      </c>
      <c r="G153" s="338">
        <f t="shared" si="57"/>
        <v>1</v>
      </c>
      <c r="H153" s="339">
        <f t="shared" si="58"/>
        <v>0</v>
      </c>
      <c r="I153" s="337">
        <f t="shared" si="59"/>
        <v>62684.868851557454</v>
      </c>
      <c r="J153" s="340">
        <f t="shared" si="60"/>
        <v>1.5707803739817479</v>
      </c>
      <c r="K153" s="348">
        <f t="shared" si="78"/>
        <v>1.752971446279848</v>
      </c>
      <c r="L153" s="349">
        <f t="shared" si="79"/>
        <v>0.96373057346471269</v>
      </c>
      <c r="M153" s="337">
        <f t="shared" si="63"/>
        <v>1.0000361913363347</v>
      </c>
      <c r="N153" s="340">
        <f t="shared" si="64"/>
        <v>8.5076724029100066E-3</v>
      </c>
      <c r="O153" s="341">
        <f t="shared" si="65"/>
        <v>1.0000145671408498</v>
      </c>
      <c r="P153" s="342">
        <f t="shared" si="66"/>
        <v>1.2852321196558531E-2</v>
      </c>
      <c r="Q153" s="343">
        <f t="shared" si="67"/>
        <v>1.2772004147556639</v>
      </c>
      <c r="R153" s="344">
        <f t="shared" si="68"/>
        <v>-43.904888337653261</v>
      </c>
      <c r="S153" s="346">
        <f t="shared" si="69"/>
        <v>136.09511166234674</v>
      </c>
      <c r="U153" s="319">
        <f t="shared" si="75"/>
        <v>1000000000</v>
      </c>
      <c r="V153" s="319">
        <f t="shared" si="76"/>
        <v>74996466.002499983</v>
      </c>
      <c r="X153" s="345">
        <f t="shared" si="70"/>
        <v>6.6391524615731248</v>
      </c>
      <c r="Y153" s="346">
        <f t="shared" si="71"/>
        <v>-35.268845286351855</v>
      </c>
      <c r="AA153" s="345">
        <f t="shared" si="72"/>
        <v>32.856014966528797</v>
      </c>
      <c r="AB153" s="346">
        <f t="shared" si="73"/>
        <v>-8.6360430513014048</v>
      </c>
      <c r="AD153">
        <f t="shared" si="77"/>
        <v>0</v>
      </c>
      <c r="AE153">
        <f t="shared" si="52"/>
        <v>0</v>
      </c>
    </row>
    <row r="154" spans="1:31" x14ac:dyDescent="0.2">
      <c r="A154" s="350">
        <v>8709.6</v>
      </c>
      <c r="B154" s="364">
        <f t="shared" si="74"/>
        <v>8.7096</v>
      </c>
      <c r="C154" s="337">
        <f t="shared" si="53"/>
        <v>1.009762661192823</v>
      </c>
      <c r="D154" s="338">
        <f t="shared" si="54"/>
        <v>0.13916819076696016</v>
      </c>
      <c r="E154" s="338">
        <f t="shared" si="55"/>
        <v>1.0000001323067003</v>
      </c>
      <c r="F154" s="339">
        <f t="shared" si="56"/>
        <v>5.1440584310257908E-4</v>
      </c>
      <c r="G154" s="338">
        <f t="shared" si="57"/>
        <v>1</v>
      </c>
      <c r="H154" s="339">
        <f t="shared" si="58"/>
        <v>0</v>
      </c>
      <c r="I154" s="337">
        <f t="shared" si="59"/>
        <v>63043.531359372821</v>
      </c>
      <c r="J154" s="340">
        <f t="shared" si="60"/>
        <v>1.5707804647392902</v>
      </c>
      <c r="K154" s="348">
        <f t="shared" si="78"/>
        <v>1.7597436686850223</v>
      </c>
      <c r="L154" s="349">
        <f t="shared" si="79"/>
        <v>0.9664010553068707</v>
      </c>
      <c r="M154" s="337">
        <f t="shared" si="63"/>
        <v>1.0000366066637485</v>
      </c>
      <c r="N154" s="340">
        <f t="shared" si="64"/>
        <v>8.5563481786130238E-3</v>
      </c>
      <c r="O154" s="341">
        <f t="shared" si="65"/>
        <v>1.0000147343402863</v>
      </c>
      <c r="P154" s="342">
        <f t="shared" si="66"/>
        <v>1.2925859936726201E-2</v>
      </c>
      <c r="Q154" s="343">
        <f t="shared" si="67"/>
        <v>1.2601822487824952</v>
      </c>
      <c r="R154" s="344">
        <f t="shared" si="68"/>
        <v>-43.803505984421918</v>
      </c>
      <c r="S154" s="346">
        <f t="shared" si="69"/>
        <v>136.19649401557808</v>
      </c>
      <c r="U154" s="319">
        <f t="shared" si="75"/>
        <v>1000000000</v>
      </c>
      <c r="V154" s="319">
        <f t="shared" si="76"/>
        <v>75857132.160000011</v>
      </c>
      <c r="X154" s="345">
        <f t="shared" si="70"/>
        <v>6.6230840318841508</v>
      </c>
      <c r="Y154" s="346">
        <f t="shared" si="71"/>
        <v>-35.11863206389468</v>
      </c>
      <c r="AA154" s="345">
        <f t="shared" si="72"/>
        <v>32.855065230244605</v>
      </c>
      <c r="AB154" s="346">
        <f t="shared" si="73"/>
        <v>-8.6848739205272452</v>
      </c>
      <c r="AD154">
        <f t="shared" si="77"/>
        <v>0</v>
      </c>
      <c r="AE154">
        <f t="shared" ref="AE154:AE217" si="80">IF(AD154&gt;0,S154,0)</f>
        <v>0</v>
      </c>
    </row>
    <row r="155" spans="1:31" x14ac:dyDescent="0.2">
      <c r="A155" s="350">
        <v>8760.3250000000007</v>
      </c>
      <c r="B155" s="364">
        <f t="shared" si="74"/>
        <v>8.7603249999999999</v>
      </c>
      <c r="C155" s="337">
        <f t="shared" si="53"/>
        <v>1.0098761507651228</v>
      </c>
      <c r="D155" s="338">
        <f t="shared" si="54"/>
        <v>0.13996819625117277</v>
      </c>
      <c r="E155" s="338">
        <f t="shared" si="55"/>
        <v>1.0000001338523052</v>
      </c>
      <c r="F155" s="339">
        <f t="shared" si="56"/>
        <v>5.1740175930401302E-4</v>
      </c>
      <c r="G155" s="338">
        <f t="shared" si="57"/>
        <v>1</v>
      </c>
      <c r="H155" s="339">
        <f t="shared" si="58"/>
        <v>0</v>
      </c>
      <c r="I155" s="337">
        <f t="shared" si="59"/>
        <v>63410.698982157104</v>
      </c>
      <c r="J155" s="340">
        <f t="shared" si="60"/>
        <v>1.5707805565855142</v>
      </c>
      <c r="K155" s="348">
        <f t="shared" si="78"/>
        <v>1.7666893822342646</v>
      </c>
      <c r="L155" s="349">
        <f t="shared" si="79"/>
        <v>0.96911363612115242</v>
      </c>
      <c r="M155" s="337">
        <f t="shared" si="63"/>
        <v>1.0000370342943585</v>
      </c>
      <c r="N155" s="340">
        <f t="shared" si="64"/>
        <v>8.606178181465288E-3</v>
      </c>
      <c r="O155" s="341">
        <f t="shared" si="65"/>
        <v>1.0000149064933328</v>
      </c>
      <c r="P155" s="342">
        <f t="shared" si="66"/>
        <v>1.3001142566071594E-2</v>
      </c>
      <c r="Q155" s="343">
        <f t="shared" si="67"/>
        <v>1.2429764626463007</v>
      </c>
      <c r="R155" s="344">
        <f t="shared" si="68"/>
        <v>-43.700925524726479</v>
      </c>
      <c r="S155" s="346">
        <f t="shared" si="69"/>
        <v>136.29907447527353</v>
      </c>
      <c r="U155" s="319">
        <f t="shared" si="75"/>
        <v>1000000000</v>
      </c>
      <c r="V155" s="319">
        <f t="shared" si="76"/>
        <v>76743294.105625018</v>
      </c>
      <c r="X155" s="345">
        <f t="shared" si="70"/>
        <v>6.6068559000705491</v>
      </c>
      <c r="Y155" s="346">
        <f t="shared" si="71"/>
        <v>-34.966072942731401</v>
      </c>
      <c r="AA155" s="345">
        <f t="shared" si="72"/>
        <v>32.854087575922016</v>
      </c>
      <c r="AB155" s="346">
        <f t="shared" si="73"/>
        <v>-8.734852581995078</v>
      </c>
      <c r="AD155">
        <f t="shared" si="77"/>
        <v>0</v>
      </c>
      <c r="AE155">
        <f t="shared" si="80"/>
        <v>0</v>
      </c>
    </row>
    <row r="156" spans="1:31" x14ac:dyDescent="0.2">
      <c r="A156" s="350">
        <v>8811.0499999999993</v>
      </c>
      <c r="B156" s="364">
        <f t="shared" si="74"/>
        <v>8.8110499999999998</v>
      </c>
      <c r="C156" s="337">
        <f t="shared" si="53"/>
        <v>1.0099902865215271</v>
      </c>
      <c r="D156" s="338">
        <f t="shared" si="54"/>
        <v>0.14076802143508682</v>
      </c>
      <c r="E156" s="338">
        <f t="shared" si="55"/>
        <v>1.0000001354068857</v>
      </c>
      <c r="F156" s="339">
        <f t="shared" si="56"/>
        <v>5.2039767549615882E-4</v>
      </c>
      <c r="G156" s="338">
        <f t="shared" si="57"/>
        <v>1</v>
      </c>
      <c r="H156" s="339">
        <f t="shared" si="58"/>
        <v>0</v>
      </c>
      <c r="I156" s="337">
        <f t="shared" si="59"/>
        <v>63777.866604941897</v>
      </c>
      <c r="J156" s="340">
        <f t="shared" si="60"/>
        <v>1.570780647374225</v>
      </c>
      <c r="K156" s="348">
        <f t="shared" si="78"/>
        <v>1.7736479933822826</v>
      </c>
      <c r="L156" s="349">
        <f t="shared" si="79"/>
        <v>0.97180495189526106</v>
      </c>
      <c r="M156" s="337">
        <f t="shared" si="63"/>
        <v>1.0000374644080878</v>
      </c>
      <c r="N156" s="340">
        <f t="shared" si="64"/>
        <v>8.6560081415777493E-3</v>
      </c>
      <c r="O156" s="341">
        <f t="shared" si="65"/>
        <v>1.0000150796467149</v>
      </c>
      <c r="P156" s="342">
        <f t="shared" si="66"/>
        <v>1.3076425230103573E-2</v>
      </c>
      <c r="Q156" s="343">
        <f t="shared" si="67"/>
        <v>1.2259853286322062</v>
      </c>
      <c r="R156" s="344">
        <f t="shared" si="68"/>
        <v>-43.599553070587454</v>
      </c>
      <c r="S156" s="346">
        <f t="shared" si="69"/>
        <v>136.40044692941254</v>
      </c>
      <c r="U156" s="319">
        <f t="shared" si="75"/>
        <v>1000000000</v>
      </c>
      <c r="V156" s="319">
        <f t="shared" si="76"/>
        <v>77634602.102499992</v>
      </c>
      <c r="X156" s="345">
        <f t="shared" si="70"/>
        <v>6.5908478764616198</v>
      </c>
      <c r="Y156" s="346">
        <f t="shared" si="71"/>
        <v>-34.814732155582774</v>
      </c>
      <c r="AA156" s="345">
        <f t="shared" si="72"/>
        <v>32.85310446551685</v>
      </c>
      <c r="AB156" s="346">
        <f t="shared" si="73"/>
        <v>-8.7848209150046745</v>
      </c>
      <c r="AD156">
        <f t="shared" si="77"/>
        <v>0</v>
      </c>
      <c r="AE156">
        <f t="shared" si="80"/>
        <v>0</v>
      </c>
    </row>
    <row r="157" spans="1:31" x14ac:dyDescent="0.2">
      <c r="A157" s="350">
        <v>8861.7749999999996</v>
      </c>
      <c r="B157" s="364">
        <f t="shared" si="74"/>
        <v>8.8617749999999997</v>
      </c>
      <c r="C157" s="337">
        <f t="shared" si="53"/>
        <v>1.0101050682429911</v>
      </c>
      <c r="D157" s="338">
        <f t="shared" si="54"/>
        <v>0.14156766535666632</v>
      </c>
      <c r="E157" s="338">
        <f t="shared" si="55"/>
        <v>1.0000001369704414</v>
      </c>
      <c r="F157" s="339">
        <f t="shared" si="56"/>
        <v>5.2339359167896313E-4</v>
      </c>
      <c r="G157" s="338">
        <f t="shared" si="57"/>
        <v>1</v>
      </c>
      <c r="H157" s="339">
        <f t="shared" si="58"/>
        <v>0</v>
      </c>
      <c r="I157" s="337">
        <f t="shared" si="59"/>
        <v>64145.034227727221</v>
      </c>
      <c r="J157" s="340">
        <f t="shared" si="60"/>
        <v>1.5707807371235825</v>
      </c>
      <c r="K157" s="348">
        <f t="shared" si="78"/>
        <v>1.780619350918706</v>
      </c>
      <c r="L157" s="349">
        <f t="shared" si="79"/>
        <v>0.97447521317847585</v>
      </c>
      <c r="M157" s="337">
        <f t="shared" si="63"/>
        <v>1.0000378970049326</v>
      </c>
      <c r="N157" s="340">
        <f t="shared" si="64"/>
        <v>8.7058380587030082E-3</v>
      </c>
      <c r="O157" s="341">
        <f t="shared" si="65"/>
        <v>1.0000152538004434</v>
      </c>
      <c r="P157" s="342">
        <f t="shared" si="66"/>
        <v>1.3151707929022862E-2</v>
      </c>
      <c r="Q157" s="343">
        <f t="shared" si="67"/>
        <v>1.2092050782916806</v>
      </c>
      <c r="R157" s="344">
        <f t="shared" si="68"/>
        <v>-43.499376504336915</v>
      </c>
      <c r="S157" s="346">
        <f t="shared" si="69"/>
        <v>136.50062349566309</v>
      </c>
      <c r="U157" s="319">
        <f t="shared" si="75"/>
        <v>1000000000</v>
      </c>
      <c r="V157" s="319">
        <f t="shared" si="76"/>
        <v>78531056.15062499</v>
      </c>
      <c r="X157" s="345">
        <f t="shared" si="70"/>
        <v>6.5750561888662205</v>
      </c>
      <c r="Y157" s="346">
        <f t="shared" si="71"/>
        <v>-34.664597639889983</v>
      </c>
      <c r="AA157" s="345">
        <f t="shared" si="72"/>
        <v>32.852115902771722</v>
      </c>
      <c r="AB157" s="346">
        <f t="shared" si="73"/>
        <v>-8.8347788644469354</v>
      </c>
      <c r="AD157">
        <f t="shared" si="77"/>
        <v>0</v>
      </c>
      <c r="AE157">
        <f t="shared" si="80"/>
        <v>0</v>
      </c>
    </row>
    <row r="158" spans="1:31" x14ac:dyDescent="0.2">
      <c r="A158" s="347">
        <v>8912.5</v>
      </c>
      <c r="B158" s="364">
        <f t="shared" si="74"/>
        <v>8.9124999999999996</v>
      </c>
      <c r="C158" s="337">
        <f t="shared" si="53"/>
        <v>1.0102204957093301</v>
      </c>
      <c r="D158" s="338">
        <f t="shared" si="54"/>
        <v>0.14236712705523832</v>
      </c>
      <c r="E158" s="338">
        <f t="shared" si="55"/>
        <v>1.0000001385429729</v>
      </c>
      <c r="F158" s="339">
        <f t="shared" si="56"/>
        <v>5.2638950785237207E-4</v>
      </c>
      <c r="G158" s="338">
        <f t="shared" si="57"/>
        <v>1</v>
      </c>
      <c r="H158" s="339">
        <f t="shared" si="58"/>
        <v>0</v>
      </c>
      <c r="I158" s="337">
        <f t="shared" si="59"/>
        <v>64512.201850513055</v>
      </c>
      <c r="J158" s="340">
        <f t="shared" si="60"/>
        <v>1.5707808258513332</v>
      </c>
      <c r="K158" s="348">
        <f t="shared" ref="K158:K214" si="81">SQRT(1+(A158/Zero2)^2)</f>
        <v>1.7876033057171146</v>
      </c>
      <c r="L158" s="349">
        <f t="shared" ref="L158:L214" si="82">ATAN(A158/Zero2)</f>
        <v>0.97712462843973591</v>
      </c>
      <c r="M158" s="337">
        <f t="shared" si="63"/>
        <v>1.0000383320848902</v>
      </c>
      <c r="N158" s="340">
        <f t="shared" si="64"/>
        <v>8.7556679325936585E-3</v>
      </c>
      <c r="O158" s="341">
        <f t="shared" si="65"/>
        <v>1.0000154289545293</v>
      </c>
      <c r="P158" s="342">
        <f t="shared" si="66"/>
        <v>1.3226990663030186E-2</v>
      </c>
      <c r="Q158" s="343">
        <f t="shared" si="67"/>
        <v>1.1926320200169997</v>
      </c>
      <c r="R158" s="344">
        <f t="shared" si="68"/>
        <v>-43.400383827556148</v>
      </c>
      <c r="S158" s="346">
        <f t="shared" si="69"/>
        <v>136.59961617244386</v>
      </c>
      <c r="U158" s="319">
        <f t="shared" si="75"/>
        <v>1000000000</v>
      </c>
      <c r="V158" s="319">
        <f t="shared" si="76"/>
        <v>79432656.25</v>
      </c>
      <c r="X158" s="345">
        <f t="shared" si="70"/>
        <v>6.5594771419152673</v>
      </c>
      <c r="Y158" s="346">
        <f t="shared" si="71"/>
        <v>-34.515657452265295</v>
      </c>
      <c r="AA158" s="345">
        <f t="shared" si="72"/>
        <v>32.851121891447988</v>
      </c>
      <c r="AB158" s="346">
        <f t="shared" si="73"/>
        <v>-8.8847263752908585</v>
      </c>
      <c r="AD158">
        <f t="shared" si="77"/>
        <v>0</v>
      </c>
      <c r="AE158">
        <f t="shared" si="80"/>
        <v>0</v>
      </c>
    </row>
    <row r="159" spans="1:31" x14ac:dyDescent="0.2">
      <c r="A159" s="347">
        <v>8964.4</v>
      </c>
      <c r="B159" s="364">
        <f t="shared" si="74"/>
        <v>8.9643999999999995</v>
      </c>
      <c r="C159" s="337">
        <f t="shared" si="53"/>
        <v>1.0103392650758218</v>
      </c>
      <c r="D159" s="338">
        <f t="shared" si="54"/>
        <v>0.14318491797673605</v>
      </c>
      <c r="E159" s="338">
        <f t="shared" si="55"/>
        <v>1.0000001401612206</v>
      </c>
      <c r="F159" s="339">
        <f t="shared" si="56"/>
        <v>5.2945482177851899E-4</v>
      </c>
      <c r="G159" s="338">
        <f t="shared" si="57"/>
        <v>1</v>
      </c>
      <c r="H159" s="339">
        <f t="shared" si="58"/>
        <v>0</v>
      </c>
      <c r="I159" s="337">
        <f t="shared" si="59"/>
        <v>64887.874588267834</v>
      </c>
      <c r="J159" s="340">
        <f t="shared" si="60"/>
        <v>1.570780915595094</v>
      </c>
      <c r="K159" s="348">
        <f t="shared" si="81"/>
        <v>1.7947619226475779</v>
      </c>
      <c r="L159" s="349">
        <f t="shared" si="82"/>
        <v>0.979814054401695</v>
      </c>
      <c r="M159" s="337">
        <f t="shared" si="63"/>
        <v>1.0000387798131463</v>
      </c>
      <c r="N159" s="340">
        <f t="shared" si="64"/>
        <v>8.8066520266689863E-3</v>
      </c>
      <c r="O159" s="341">
        <f t="shared" si="65"/>
        <v>1.0000156092013013</v>
      </c>
      <c r="P159" s="342">
        <f t="shared" si="66"/>
        <v>1.3304017291867245E-2</v>
      </c>
      <c r="Q159" s="343">
        <f t="shared" si="67"/>
        <v>1.1758857365610511</v>
      </c>
      <c r="R159" s="344">
        <f t="shared" si="68"/>
        <v>-43.300311025377745</v>
      </c>
      <c r="S159" s="346">
        <f t="shared" si="69"/>
        <v>136.69968897462226</v>
      </c>
      <c r="U159" s="319">
        <f t="shared" si="75"/>
        <v>1000000000</v>
      </c>
      <c r="V159" s="319">
        <f t="shared" si="76"/>
        <v>80360467.359999999</v>
      </c>
      <c r="X159" s="345">
        <f t="shared" si="70"/>
        <v>6.5437535305958185</v>
      </c>
      <c r="Y159" s="346">
        <f t="shared" si="71"/>
        <v>-34.364491010510932</v>
      </c>
      <c r="AA159" s="345">
        <f t="shared" si="72"/>
        <v>32.850099219311488</v>
      </c>
      <c r="AB159" s="346">
        <f t="shared" si="73"/>
        <v>-8.9358200148668097</v>
      </c>
      <c r="AD159">
        <f t="shared" si="77"/>
        <v>0</v>
      </c>
      <c r="AE159">
        <f t="shared" si="80"/>
        <v>0</v>
      </c>
    </row>
    <row r="160" spans="1:31" x14ac:dyDescent="0.2">
      <c r="A160" s="347">
        <v>9016.2999999999993</v>
      </c>
      <c r="B160" s="364">
        <f t="shared" si="74"/>
        <v>9.0162999999999993</v>
      </c>
      <c r="C160" s="337">
        <f t="shared" si="53"/>
        <v>1.0104587099799127</v>
      </c>
      <c r="D160" s="338">
        <f t="shared" si="54"/>
        <v>0.1440025161050901</v>
      </c>
      <c r="E160" s="338">
        <f t="shared" si="55"/>
        <v>1.0000001417888642</v>
      </c>
      <c r="F160" s="339">
        <f t="shared" si="56"/>
        <v>5.3252013569471607E-4</v>
      </c>
      <c r="G160" s="338">
        <f t="shared" si="57"/>
        <v>1</v>
      </c>
      <c r="H160" s="339">
        <f t="shared" si="58"/>
        <v>0</v>
      </c>
      <c r="I160" s="337">
        <f t="shared" si="59"/>
        <v>65263.547326023116</v>
      </c>
      <c r="J160" s="340">
        <f t="shared" si="60"/>
        <v>1.5707810043056816</v>
      </c>
      <c r="K160" s="348">
        <f t="shared" si="81"/>
        <v>1.8019334179134734</v>
      </c>
      <c r="L160" s="349">
        <f t="shared" si="82"/>
        <v>0.98248209229947281</v>
      </c>
      <c r="M160" s="337">
        <f t="shared" si="63"/>
        <v>1.0000392301408787</v>
      </c>
      <c r="N160" s="340">
        <f t="shared" si="64"/>
        <v>8.8576360749595372E-3</v>
      </c>
      <c r="O160" s="341">
        <f t="shared" si="65"/>
        <v>1.0000157904953353</v>
      </c>
      <c r="P160" s="342">
        <f t="shared" si="66"/>
        <v>1.3381043957861846E-2</v>
      </c>
      <c r="Q160" s="343">
        <f t="shared" si="67"/>
        <v>1.1593487750817391</v>
      </c>
      <c r="R160" s="344">
        <f t="shared" si="68"/>
        <v>-43.201452563086619</v>
      </c>
      <c r="S160" s="346">
        <f t="shared" si="69"/>
        <v>136.7985474369134</v>
      </c>
      <c r="U160" s="319">
        <f t="shared" si="75"/>
        <v>1000000000</v>
      </c>
      <c r="V160" s="319">
        <f t="shared" si="76"/>
        <v>81293665.689999983</v>
      </c>
      <c r="X160" s="345">
        <f t="shared" si="70"/>
        <v>6.5282449371518334</v>
      </c>
      <c r="Y160" s="346">
        <f t="shared" si="71"/>
        <v>-34.214549952747781</v>
      </c>
      <c r="AA160" s="345">
        <f t="shared" si="72"/>
        <v>32.84907085127616</v>
      </c>
      <c r="AB160" s="346">
        <f t="shared" si="73"/>
        <v>-8.9869026103388361</v>
      </c>
      <c r="AD160">
        <f t="shared" si="77"/>
        <v>0</v>
      </c>
      <c r="AE160">
        <f t="shared" si="80"/>
        <v>0</v>
      </c>
    </row>
    <row r="161" spans="1:31" x14ac:dyDescent="0.2">
      <c r="A161" s="347">
        <v>9068.2000000000007</v>
      </c>
      <c r="B161" s="364">
        <f t="shared" si="74"/>
        <v>9.0682000000000009</v>
      </c>
      <c r="C161" s="337">
        <f t="shared" si="53"/>
        <v>1.0105788301820682</v>
      </c>
      <c r="D161" s="338">
        <f t="shared" si="54"/>
        <v>0.14481992041578218</v>
      </c>
      <c r="E161" s="338">
        <f t="shared" si="55"/>
        <v>1.000000143425904</v>
      </c>
      <c r="F161" s="339">
        <f t="shared" si="56"/>
        <v>5.3558544960090608E-4</v>
      </c>
      <c r="G161" s="338">
        <f t="shared" si="57"/>
        <v>1</v>
      </c>
      <c r="H161" s="339">
        <f t="shared" si="58"/>
        <v>0</v>
      </c>
      <c r="I161" s="337">
        <f t="shared" si="59"/>
        <v>65639.220063778936</v>
      </c>
      <c r="J161" s="340">
        <f t="shared" si="60"/>
        <v>1.5707810920008349</v>
      </c>
      <c r="K161" s="348">
        <f t="shared" si="81"/>
        <v>1.8091176383623762</v>
      </c>
      <c r="L161" s="349">
        <f t="shared" si="82"/>
        <v>0.98512895872527528</v>
      </c>
      <c r="M161" s="337">
        <f t="shared" si="63"/>
        <v>1.0000396830680838</v>
      </c>
      <c r="N161" s="340">
        <f t="shared" si="64"/>
        <v>8.908620077200325E-3</v>
      </c>
      <c r="O161" s="341">
        <f t="shared" si="65"/>
        <v>1.0000159728366433</v>
      </c>
      <c r="P161" s="342">
        <f t="shared" si="66"/>
        <v>1.3458070661228982E-2</v>
      </c>
      <c r="Q161" s="343">
        <f t="shared" si="67"/>
        <v>1.1430174196442813</v>
      </c>
      <c r="R161" s="344">
        <f t="shared" si="68"/>
        <v>-43.103795973176418</v>
      </c>
      <c r="S161" s="346">
        <f t="shared" si="69"/>
        <v>136.89620402682357</v>
      </c>
      <c r="U161" s="319">
        <f t="shared" si="75"/>
        <v>1000000000</v>
      </c>
      <c r="V161" s="319">
        <f t="shared" si="76"/>
        <v>82232251.24000001</v>
      </c>
      <c r="X161" s="345">
        <f t="shared" si="70"/>
        <v>6.512947641559018</v>
      </c>
      <c r="Y161" s="346">
        <f t="shared" si="71"/>
        <v>-34.065821870157734</v>
      </c>
      <c r="AA161" s="345">
        <f t="shared" si="72"/>
        <v>32.848036791431532</v>
      </c>
      <c r="AB161" s="346">
        <f t="shared" si="73"/>
        <v>-9.0379741030186835</v>
      </c>
      <c r="AD161">
        <f t="shared" si="77"/>
        <v>0</v>
      </c>
      <c r="AE161">
        <f t="shared" si="80"/>
        <v>0</v>
      </c>
    </row>
    <row r="162" spans="1:31" x14ac:dyDescent="0.2">
      <c r="A162" s="347">
        <v>9120.1</v>
      </c>
      <c r="B162" s="364">
        <f t="shared" si="74"/>
        <v>9.1201000000000008</v>
      </c>
      <c r="C162" s="337">
        <f t="shared" si="53"/>
        <v>1.0106996254415135</v>
      </c>
      <c r="D162" s="338">
        <f t="shared" si="54"/>
        <v>0.14563712988581562</v>
      </c>
      <c r="E162" s="338">
        <f t="shared" si="55"/>
        <v>1.0000001450723401</v>
      </c>
      <c r="F162" s="339">
        <f t="shared" si="56"/>
        <v>5.3865076349703122E-4</v>
      </c>
      <c r="G162" s="338">
        <f t="shared" si="57"/>
        <v>1</v>
      </c>
      <c r="H162" s="339">
        <f t="shared" si="58"/>
        <v>0</v>
      </c>
      <c r="I162" s="337">
        <f t="shared" si="59"/>
        <v>66014.892801535243</v>
      </c>
      <c r="J162" s="340">
        <f t="shared" si="60"/>
        <v>1.57078117869789</v>
      </c>
      <c r="K162" s="348">
        <f t="shared" si="81"/>
        <v>1.8163144329953489</v>
      </c>
      <c r="L162" s="349">
        <f t="shared" si="82"/>
        <v>0.98775486803421664</v>
      </c>
      <c r="M162" s="337">
        <f t="shared" si="63"/>
        <v>1.0000401385947582</v>
      </c>
      <c r="N162" s="340">
        <f t="shared" si="64"/>
        <v>8.9596040331263553E-3</v>
      </c>
      <c r="O162" s="341">
        <f t="shared" si="65"/>
        <v>1.0000161562252372</v>
      </c>
      <c r="P162" s="342">
        <f t="shared" si="66"/>
        <v>1.353509740218363E-2</v>
      </c>
      <c r="Q162" s="343">
        <f t="shared" si="67"/>
        <v>1.1268880308771658</v>
      </c>
      <c r="R162" s="344">
        <f t="shared" si="68"/>
        <v>-43.007328916380793</v>
      </c>
      <c r="S162" s="346">
        <f t="shared" si="69"/>
        <v>136.9926710836192</v>
      </c>
      <c r="U162" s="319">
        <f t="shared" si="75"/>
        <v>1000000000</v>
      </c>
      <c r="V162" s="319">
        <f t="shared" si="76"/>
        <v>83176224.010000005</v>
      </c>
      <c r="X162" s="345">
        <f t="shared" si="70"/>
        <v>6.4978580003359729</v>
      </c>
      <c r="Y162" s="346">
        <f t="shared" si="71"/>
        <v>-33.918294482075495</v>
      </c>
      <c r="AA162" s="345">
        <f t="shared" si="72"/>
        <v>32.846997043887455</v>
      </c>
      <c r="AB162" s="346">
        <f t="shared" si="73"/>
        <v>-9.0890344343052849</v>
      </c>
      <c r="AD162">
        <f t="shared" si="77"/>
        <v>0</v>
      </c>
      <c r="AE162">
        <f t="shared" si="80"/>
        <v>0</v>
      </c>
    </row>
    <row r="163" spans="1:31" x14ac:dyDescent="0.2">
      <c r="A163" s="347">
        <v>9173.2000000000007</v>
      </c>
      <c r="B163" s="364">
        <f t="shared" si="74"/>
        <v>9.1732000000000014</v>
      </c>
      <c r="C163" s="337">
        <f t="shared" si="53"/>
        <v>1.0108239120526499</v>
      </c>
      <c r="D163" s="338">
        <f t="shared" si="54"/>
        <v>0.14647303165697217</v>
      </c>
      <c r="E163" s="338">
        <f t="shared" si="55"/>
        <v>1.0000001467665685</v>
      </c>
      <c r="F163" s="339">
        <f t="shared" si="56"/>
        <v>5.4178695169241654E-4</v>
      </c>
      <c r="G163" s="338">
        <f t="shared" si="57"/>
        <v>1</v>
      </c>
      <c r="H163" s="339">
        <f t="shared" si="58"/>
        <v>0</v>
      </c>
      <c r="I163" s="337">
        <f t="shared" si="59"/>
        <v>66399.251614153458</v>
      </c>
      <c r="J163" s="340">
        <f t="shared" si="60"/>
        <v>1.5707812663841882</v>
      </c>
      <c r="K163" s="348">
        <f t="shared" si="81"/>
        <v>1.8236904858927887</v>
      </c>
      <c r="L163" s="349">
        <f t="shared" si="82"/>
        <v>0.99042002367697091</v>
      </c>
      <c r="M163" s="337">
        <f t="shared" si="63"/>
        <v>1.0000406073441568</v>
      </c>
      <c r="N163" s="340">
        <f t="shared" si="64"/>
        <v>9.011766760632792E-3</v>
      </c>
      <c r="O163" s="341">
        <f t="shared" si="65"/>
        <v>1.00001634493793</v>
      </c>
      <c r="P163" s="342">
        <f t="shared" si="66"/>
        <v>1.3613905147372447E-2</v>
      </c>
      <c r="Q163" s="343">
        <f t="shared" si="67"/>
        <v>1.1105910163580264</v>
      </c>
      <c r="R163" s="344">
        <f t="shared" si="68"/>
        <v>-42.909849778802624</v>
      </c>
      <c r="S163" s="346">
        <f t="shared" si="69"/>
        <v>137.09015022119738</v>
      </c>
      <c r="U163" s="319">
        <f t="shared" si="75"/>
        <v>1000000000</v>
      </c>
      <c r="V163" s="319">
        <f t="shared" si="76"/>
        <v>84147598.24000001</v>
      </c>
      <c r="X163" s="345">
        <f t="shared" si="70"/>
        <v>6.4826306559399862</v>
      </c>
      <c r="Y163" s="346">
        <f t="shared" si="71"/>
        <v>-33.768586040017958</v>
      </c>
      <c r="AA163" s="345">
        <f t="shared" si="72"/>
        <v>32.845927373764297</v>
      </c>
      <c r="AB163" s="346">
        <f t="shared" si="73"/>
        <v>-9.1412637387846569</v>
      </c>
      <c r="AD163">
        <f t="shared" si="77"/>
        <v>0</v>
      </c>
      <c r="AE163">
        <f t="shared" si="80"/>
        <v>0</v>
      </c>
    </row>
    <row r="164" spans="1:31" x14ac:dyDescent="0.2">
      <c r="A164" s="347">
        <v>9226.2999999999993</v>
      </c>
      <c r="B164" s="364">
        <f t="shared" si="74"/>
        <v>9.2262999999999984</v>
      </c>
      <c r="C164" s="337">
        <f t="shared" si="53"/>
        <v>1.0109489047846163</v>
      </c>
      <c r="D164" s="338">
        <f t="shared" si="54"/>
        <v>0.14730872731178407</v>
      </c>
      <c r="E164" s="338">
        <f t="shared" si="55"/>
        <v>1.0000001484706325</v>
      </c>
      <c r="F164" s="339">
        <f t="shared" si="56"/>
        <v>5.4492313987714405E-4</v>
      </c>
      <c r="G164" s="338">
        <f t="shared" si="57"/>
        <v>1</v>
      </c>
      <c r="H164" s="339">
        <f t="shared" si="58"/>
        <v>0</v>
      </c>
      <c r="I164" s="337">
        <f t="shared" si="59"/>
        <v>66783.610426772182</v>
      </c>
      <c r="J164" s="340">
        <f t="shared" si="60"/>
        <v>1.570781353061167</v>
      </c>
      <c r="K164" s="348">
        <f t="shared" si="81"/>
        <v>1.8310793881477239</v>
      </c>
      <c r="L164" s="349">
        <f t="shared" si="82"/>
        <v>0.99306368871924056</v>
      </c>
      <c r="M164" s="337">
        <f t="shared" si="63"/>
        <v>1.0000410788146135</v>
      </c>
      <c r="N164" s="340">
        <f t="shared" si="64"/>
        <v>9.0639294390968111E-3</v>
      </c>
      <c r="O164" s="341">
        <f t="shared" si="65"/>
        <v>1.0000165347469234</v>
      </c>
      <c r="P164" s="342">
        <f t="shared" si="66"/>
        <v>1.3692712932362301E-2</v>
      </c>
      <c r="Q164" s="343">
        <f t="shared" si="67"/>
        <v>1.0944979463445028</v>
      </c>
      <c r="R164" s="344">
        <f t="shared" si="68"/>
        <v>-42.813590093977531</v>
      </c>
      <c r="S164" s="346">
        <f t="shared" si="69"/>
        <v>137.18640990602248</v>
      </c>
      <c r="U164" s="319">
        <f t="shared" si="75"/>
        <v>1000000000</v>
      </c>
      <c r="V164" s="319">
        <f t="shared" si="76"/>
        <v>85124611.689999983</v>
      </c>
      <c r="X164" s="345">
        <f t="shared" si="70"/>
        <v>6.4676132010359968</v>
      </c>
      <c r="Y164" s="346">
        <f t="shared" si="71"/>
        <v>-33.62010885802912</v>
      </c>
      <c r="AA164" s="345">
        <f t="shared" si="72"/>
        <v>32.844851758654762</v>
      </c>
      <c r="AB164" s="346">
        <f t="shared" si="73"/>
        <v>-9.1934812359484148</v>
      </c>
      <c r="AD164">
        <f t="shared" si="77"/>
        <v>0</v>
      </c>
      <c r="AE164">
        <f t="shared" si="80"/>
        <v>0</v>
      </c>
    </row>
    <row r="165" spans="1:31" x14ac:dyDescent="0.2">
      <c r="A165" s="347">
        <v>9279.4</v>
      </c>
      <c r="B165" s="364">
        <f t="shared" si="74"/>
        <v>9.279399999999999</v>
      </c>
      <c r="C165" s="337">
        <f t="shared" si="53"/>
        <v>1.0110746033755329</v>
      </c>
      <c r="D165" s="338">
        <f t="shared" si="54"/>
        <v>0.14814421575963291</v>
      </c>
      <c r="E165" s="338">
        <f t="shared" si="55"/>
        <v>1.0000001501845324</v>
      </c>
      <c r="F165" s="339">
        <f t="shared" si="56"/>
        <v>5.4805932805115237E-4</v>
      </c>
      <c r="G165" s="338">
        <f t="shared" si="57"/>
        <v>1</v>
      </c>
      <c r="H165" s="339">
        <f t="shared" si="58"/>
        <v>0</v>
      </c>
      <c r="I165" s="337">
        <f t="shared" si="59"/>
        <v>67167.969239391416</v>
      </c>
      <c r="J165" s="340">
        <f t="shared" si="60"/>
        <v>1.5707814387461532</v>
      </c>
      <c r="K165" s="348">
        <f t="shared" si="81"/>
        <v>1.8384809848344681</v>
      </c>
      <c r="L165" s="349">
        <f t="shared" si="82"/>
        <v>0.99568608554316673</v>
      </c>
      <c r="M165" s="337">
        <f t="shared" si="63"/>
        <v>1.0000415530061242</v>
      </c>
      <c r="N165" s="340">
        <f t="shared" si="64"/>
        <v>9.1160920682346203E-3</v>
      </c>
      <c r="O165" s="341">
        <f t="shared" si="65"/>
        <v>1.0000167256522303</v>
      </c>
      <c r="P165" s="342">
        <f t="shared" si="66"/>
        <v>1.3771520757383438E-2</v>
      </c>
      <c r="Q165" s="343">
        <f t="shared" si="67"/>
        <v>1.0786051603287861</v>
      </c>
      <c r="R165" s="344">
        <f t="shared" si="68"/>
        <v>-42.718537058849279</v>
      </c>
      <c r="S165" s="346">
        <f t="shared" si="69"/>
        <v>137.28146294115072</v>
      </c>
      <c r="U165" s="319">
        <f t="shared" si="75"/>
        <v>1000000000</v>
      </c>
      <c r="V165" s="319">
        <f t="shared" si="76"/>
        <v>86107264.359999999</v>
      </c>
      <c r="X165" s="345">
        <f t="shared" si="70"/>
        <v>6.4528019706488156</v>
      </c>
      <c r="Y165" s="346">
        <f t="shared" si="71"/>
        <v>-33.47285019552735</v>
      </c>
      <c r="AA165" s="345">
        <f t="shared" si="72"/>
        <v>32.843770203026232</v>
      </c>
      <c r="AB165" s="346">
        <f t="shared" si="73"/>
        <v>-9.2456868633219305</v>
      </c>
      <c r="AD165">
        <f t="shared" si="77"/>
        <v>0</v>
      </c>
      <c r="AE165">
        <f t="shared" si="80"/>
        <v>0</v>
      </c>
    </row>
    <row r="166" spans="1:31" x14ac:dyDescent="0.2">
      <c r="A166" s="347">
        <v>9332.5</v>
      </c>
      <c r="B166" s="364">
        <f t="shared" si="74"/>
        <v>9.3324999999999996</v>
      </c>
      <c r="C166" s="337">
        <f t="shared" si="53"/>
        <v>1.0112010075621716</v>
      </c>
      <c r="D166" s="338">
        <f t="shared" si="54"/>
        <v>0.14897949591159823</v>
      </c>
      <c r="E166" s="338">
        <f t="shared" si="55"/>
        <v>1.0000001519082677</v>
      </c>
      <c r="F166" s="339">
        <f t="shared" si="56"/>
        <v>5.511955162143796E-4</v>
      </c>
      <c r="G166" s="338">
        <f t="shared" si="57"/>
        <v>1</v>
      </c>
      <c r="H166" s="339">
        <f t="shared" si="58"/>
        <v>0</v>
      </c>
      <c r="I166" s="337">
        <f t="shared" si="59"/>
        <v>67552.328052011129</v>
      </c>
      <c r="J166" s="340">
        <f t="shared" si="60"/>
        <v>1.5707815234560796</v>
      </c>
      <c r="K166" s="348">
        <f t="shared" si="81"/>
        <v>1.845895123248148</v>
      </c>
      <c r="L166" s="349">
        <f t="shared" si="82"/>
        <v>0.99828743413733378</v>
      </c>
      <c r="M166" s="337">
        <f t="shared" si="63"/>
        <v>1.0000420299186854</v>
      </c>
      <c r="N166" s="340">
        <f t="shared" si="64"/>
        <v>9.1682546477624242E-3</v>
      </c>
      <c r="O166" s="341">
        <f t="shared" si="65"/>
        <v>1.0000169176538638</v>
      </c>
      <c r="P166" s="342">
        <f t="shared" si="66"/>
        <v>1.3850328622666091E-2</v>
      </c>
      <c r="Q166" s="343">
        <f t="shared" si="67"/>
        <v>1.0629090740011258</v>
      </c>
      <c r="R166" s="344">
        <f t="shared" si="68"/>
        <v>-42.624678007576975</v>
      </c>
      <c r="S166" s="346">
        <f t="shared" si="69"/>
        <v>137.37532199242304</v>
      </c>
      <c r="U166" s="319">
        <f t="shared" si="75"/>
        <v>1000000000</v>
      </c>
      <c r="V166" s="319">
        <f t="shared" si="76"/>
        <v>87095556.25</v>
      </c>
      <c r="X166" s="345">
        <f t="shared" si="70"/>
        <v>6.4381933759792584</v>
      </c>
      <c r="Y166" s="346">
        <f t="shared" si="71"/>
        <v>-33.326797449049124</v>
      </c>
      <c r="AA166" s="345">
        <f t="shared" si="72"/>
        <v>32.842682711368127</v>
      </c>
      <c r="AB166" s="346">
        <f t="shared" si="73"/>
        <v>-9.297880558527849</v>
      </c>
      <c r="AD166">
        <f t="shared" si="77"/>
        <v>0</v>
      </c>
      <c r="AE166">
        <f t="shared" si="80"/>
        <v>0</v>
      </c>
    </row>
    <row r="167" spans="1:31" x14ac:dyDescent="0.2">
      <c r="A167" s="347">
        <v>9386.85</v>
      </c>
      <c r="B167" s="364">
        <f t="shared" si="74"/>
        <v>9.3868500000000008</v>
      </c>
      <c r="C167" s="337">
        <f t="shared" si="53"/>
        <v>1.0113311177954392</v>
      </c>
      <c r="D167" s="338">
        <f t="shared" si="54"/>
        <v>0.14983422212392006</v>
      </c>
      <c r="E167" s="338">
        <f t="shared" si="55"/>
        <v>1.0000001536827665</v>
      </c>
      <c r="F167" s="339">
        <f t="shared" si="56"/>
        <v>5.5440553177135005E-4</v>
      </c>
      <c r="G167" s="338">
        <f t="shared" si="57"/>
        <v>1</v>
      </c>
      <c r="H167" s="339">
        <f t="shared" si="58"/>
        <v>0</v>
      </c>
      <c r="I167" s="337">
        <f t="shared" si="59"/>
        <v>67945.734859278702</v>
      </c>
      <c r="J167" s="340">
        <f t="shared" si="60"/>
        <v>1.5707816091676297</v>
      </c>
      <c r="K167" s="348">
        <f t="shared" si="81"/>
        <v>1.853496625085443</v>
      </c>
      <c r="L167" s="349">
        <f t="shared" si="82"/>
        <v>1.0009284495699362</v>
      </c>
      <c r="M167" s="337">
        <f t="shared" si="63"/>
        <v>1.0000425208758843</v>
      </c>
      <c r="N167" s="340">
        <f t="shared" si="64"/>
        <v>9.2216451082816012E-3</v>
      </c>
      <c r="O167" s="341">
        <f t="shared" si="65"/>
        <v>1.0000171153106661</v>
      </c>
      <c r="P167" s="342">
        <f t="shared" si="66"/>
        <v>1.3930991705619783E-2</v>
      </c>
      <c r="Q167" s="343">
        <f t="shared" si="67"/>
        <v>1.0470435310016371</v>
      </c>
      <c r="R167" s="344">
        <f t="shared" si="68"/>
        <v>-42.529832866993061</v>
      </c>
      <c r="S167" s="346">
        <f t="shared" si="69"/>
        <v>137.47016713300695</v>
      </c>
      <c r="U167" s="319">
        <f t="shared" si="75"/>
        <v>1000000000</v>
      </c>
      <c r="V167" s="319">
        <f t="shared" si="76"/>
        <v>88112952.922499999</v>
      </c>
      <c r="X167" s="345">
        <f t="shared" si="70"/>
        <v>6.4234470672950694</v>
      </c>
      <c r="Y167" s="346">
        <f t="shared" si="71"/>
        <v>-33.17854236992676</v>
      </c>
      <c r="AA167" s="345">
        <f t="shared" si="72"/>
        <v>32.84156347705283</v>
      </c>
      <c r="AB167" s="346">
        <f t="shared" si="73"/>
        <v>-9.3512904970662962</v>
      </c>
      <c r="AD167">
        <f t="shared" si="77"/>
        <v>0</v>
      </c>
      <c r="AE167">
        <f t="shared" si="80"/>
        <v>0</v>
      </c>
    </row>
    <row r="168" spans="1:31" x14ac:dyDescent="0.2">
      <c r="A168" s="347">
        <v>9441.2000000000007</v>
      </c>
      <c r="B168" s="364">
        <f t="shared" si="74"/>
        <v>9.4412000000000003</v>
      </c>
      <c r="C168" s="337">
        <f t="shared" si="53"/>
        <v>1.011461966673235</v>
      </c>
      <c r="D168" s="338">
        <f t="shared" si="54"/>
        <v>0.1506887278151999</v>
      </c>
      <c r="E168" s="338">
        <f t="shared" si="55"/>
        <v>1.0000001554675695</v>
      </c>
      <c r="F168" s="339">
        <f t="shared" si="56"/>
        <v>5.5761554731689517E-4</v>
      </c>
      <c r="G168" s="338">
        <f t="shared" si="57"/>
        <v>1</v>
      </c>
      <c r="H168" s="339">
        <f t="shared" si="58"/>
        <v>0</v>
      </c>
      <c r="I168" s="337">
        <f t="shared" si="59"/>
        <v>68339.14166654677</v>
      </c>
      <c r="J168" s="340">
        <f t="shared" si="60"/>
        <v>1.5707816938923513</v>
      </c>
      <c r="K168" s="348">
        <f t="shared" si="81"/>
        <v>1.8611109493333278</v>
      </c>
      <c r="L168" s="349">
        <f t="shared" si="82"/>
        <v>1.0035478728863818</v>
      </c>
      <c r="M168" s="337">
        <f t="shared" si="63"/>
        <v>1.0000430146837429</v>
      </c>
      <c r="N168" s="340">
        <f t="shared" si="64"/>
        <v>9.2750355162259795E-3</v>
      </c>
      <c r="O168" s="341">
        <f t="shared" si="65"/>
        <v>1.0000173141160464</v>
      </c>
      <c r="P168" s="342">
        <f t="shared" si="66"/>
        <v>1.4011654831240925E-2</v>
      </c>
      <c r="Q168" s="343">
        <f t="shared" si="67"/>
        <v>1.0313766957524613</v>
      </c>
      <c r="R168" s="344">
        <f t="shared" si="68"/>
        <v>-42.436212171503989</v>
      </c>
      <c r="S168" s="346">
        <f t="shared" si="69"/>
        <v>137.563787828496</v>
      </c>
      <c r="U168" s="319">
        <f t="shared" si="75"/>
        <v>1000000000</v>
      </c>
      <c r="V168" s="319">
        <f t="shared" si="76"/>
        <v>89136257.440000013</v>
      </c>
      <c r="X168" s="345">
        <f t="shared" si="70"/>
        <v>6.4089056755664844</v>
      </c>
      <c r="Y168" s="346">
        <f t="shared" si="71"/>
        <v>-33.031524368378939</v>
      </c>
      <c r="AA168" s="345">
        <f t="shared" si="72"/>
        <v>32.840438033532237</v>
      </c>
      <c r="AB168" s="346">
        <f t="shared" si="73"/>
        <v>-9.40468780312505</v>
      </c>
      <c r="AD168">
        <f t="shared" si="77"/>
        <v>0</v>
      </c>
      <c r="AE168">
        <f t="shared" si="80"/>
        <v>0</v>
      </c>
    </row>
    <row r="169" spans="1:31" x14ac:dyDescent="0.2">
      <c r="A169" s="347">
        <v>9495.5499999999993</v>
      </c>
      <c r="B169" s="364">
        <f t="shared" si="74"/>
        <v>9.4955499999999997</v>
      </c>
      <c r="C169" s="337">
        <f t="shared" si="53"/>
        <v>1.0115935539089296</v>
      </c>
      <c r="D169" s="338">
        <f t="shared" si="54"/>
        <v>0.15154301182336766</v>
      </c>
      <c r="E169" s="338">
        <f t="shared" si="55"/>
        <v>1.0000001572626767</v>
      </c>
      <c r="F169" s="339">
        <f t="shared" si="56"/>
        <v>5.6082556285094861E-4</v>
      </c>
      <c r="G169" s="338">
        <f t="shared" si="57"/>
        <v>1</v>
      </c>
      <c r="H169" s="339">
        <f t="shared" si="58"/>
        <v>0</v>
      </c>
      <c r="I169" s="337">
        <f t="shared" si="59"/>
        <v>68732.548473815303</v>
      </c>
      <c r="J169" s="340">
        <f t="shared" si="60"/>
        <v>1.5707817776471895</v>
      </c>
      <c r="K169" s="348">
        <f t="shared" si="81"/>
        <v>1.8687379392539545</v>
      </c>
      <c r="L169" s="349">
        <f t="shared" si="82"/>
        <v>1.0061459322956343</v>
      </c>
      <c r="M169" s="337">
        <f t="shared" si="63"/>
        <v>1.0000435113422568</v>
      </c>
      <c r="N169" s="340">
        <f t="shared" si="64"/>
        <v>9.328425871291254E-3</v>
      </c>
      <c r="O169" s="341">
        <f t="shared" si="65"/>
        <v>1.0000175140700189</v>
      </c>
      <c r="P169" s="342">
        <f t="shared" si="66"/>
        <v>1.409231799977639E-2</v>
      </c>
      <c r="Q169" s="343">
        <f t="shared" si="67"/>
        <v>1.0159049610846991</v>
      </c>
      <c r="R169" s="344">
        <f t="shared" si="68"/>
        <v>-42.343802780085163</v>
      </c>
      <c r="S169" s="346">
        <f t="shared" si="69"/>
        <v>137.65619721991484</v>
      </c>
      <c r="U169" s="319">
        <f t="shared" si="75"/>
        <v>1000000000</v>
      </c>
      <c r="V169" s="319">
        <f t="shared" si="76"/>
        <v>90165469.80249998</v>
      </c>
      <c r="X169" s="345">
        <f t="shared" si="70"/>
        <v>6.3945655887391819</v>
      </c>
      <c r="Y169" s="346">
        <f t="shared" si="71"/>
        <v>-32.885730369948618</v>
      </c>
      <c r="AA169" s="345">
        <f t="shared" si="72"/>
        <v>32.839306385691778</v>
      </c>
      <c r="AB169" s="346">
        <f t="shared" si="73"/>
        <v>-9.4580724101365448</v>
      </c>
      <c r="AD169">
        <f t="shared" si="77"/>
        <v>0</v>
      </c>
      <c r="AE169">
        <f t="shared" si="80"/>
        <v>0</v>
      </c>
    </row>
    <row r="170" spans="1:31" x14ac:dyDescent="0.2">
      <c r="A170" s="347">
        <v>9549.9</v>
      </c>
      <c r="B170" s="364">
        <f t="shared" si="74"/>
        <v>9.5498999999999992</v>
      </c>
      <c r="C170" s="337">
        <f t="shared" si="53"/>
        <v>1.0117258792144257</v>
      </c>
      <c r="D170" s="338">
        <f t="shared" si="54"/>
        <v>0.15239707298825056</v>
      </c>
      <c r="E170" s="338">
        <f t="shared" si="55"/>
        <v>1.000000159068088</v>
      </c>
      <c r="F170" s="339">
        <f t="shared" si="56"/>
        <v>5.6403557837344436E-4</v>
      </c>
      <c r="G170" s="338">
        <f t="shared" si="57"/>
        <v>1</v>
      </c>
      <c r="H170" s="339">
        <f t="shared" si="58"/>
        <v>0</v>
      </c>
      <c r="I170" s="337">
        <f t="shared" si="59"/>
        <v>69125.955281084331</v>
      </c>
      <c r="J170" s="340">
        <f t="shared" si="60"/>
        <v>1.5707818604487034</v>
      </c>
      <c r="K170" s="348">
        <f t="shared" si="81"/>
        <v>1.8763774403992595</v>
      </c>
      <c r="L170" s="349">
        <f t="shared" si="82"/>
        <v>1.008722853453029</v>
      </c>
      <c r="M170" s="337">
        <f t="shared" si="63"/>
        <v>1.0000440108514221</v>
      </c>
      <c r="N170" s="340">
        <f t="shared" si="64"/>
        <v>9.3818161731731228E-3</v>
      </c>
      <c r="O170" s="341">
        <f t="shared" si="65"/>
        <v>1.0000177151725984</v>
      </c>
      <c r="P170" s="342">
        <f t="shared" si="66"/>
        <v>1.417298121147305E-2</v>
      </c>
      <c r="Q170" s="343">
        <f t="shared" si="67"/>
        <v>1.0006247957106658</v>
      </c>
      <c r="R170" s="344">
        <f t="shared" si="68"/>
        <v>-42.252591698110685</v>
      </c>
      <c r="S170" s="346">
        <f t="shared" si="69"/>
        <v>137.74740830188932</v>
      </c>
      <c r="U170" s="319">
        <f t="shared" si="75"/>
        <v>1000000000</v>
      </c>
      <c r="V170" s="319">
        <f t="shared" si="76"/>
        <v>91200590.00999999</v>
      </c>
      <c r="X170" s="345">
        <f t="shared" si="70"/>
        <v>6.3804232706161184</v>
      </c>
      <c r="Y170" s="346">
        <f t="shared" si="71"/>
        <v>-32.741147446468766</v>
      </c>
      <c r="AA170" s="345">
        <f t="shared" si="72"/>
        <v>32.838168538440812</v>
      </c>
      <c r="AB170" s="346">
        <f t="shared" si="73"/>
        <v>-9.511444251641926</v>
      </c>
      <c r="AD170">
        <f t="shared" si="77"/>
        <v>0</v>
      </c>
      <c r="AE170">
        <f t="shared" si="80"/>
        <v>0</v>
      </c>
    </row>
    <row r="171" spans="1:31" x14ac:dyDescent="0.2">
      <c r="A171" s="347">
        <v>9605.5249999999996</v>
      </c>
      <c r="B171" s="364">
        <f t="shared" si="74"/>
        <v>9.6055250000000001</v>
      </c>
      <c r="C171" s="337">
        <f t="shared" si="53"/>
        <v>1.0118620726897645</v>
      </c>
      <c r="D171" s="338">
        <f t="shared" si="54"/>
        <v>0.15327093767178732</v>
      </c>
      <c r="E171" s="338">
        <f t="shared" si="55"/>
        <v>1.0000001609265221</v>
      </c>
      <c r="F171" s="339">
        <f t="shared" si="56"/>
        <v>5.6732089783590313E-4</v>
      </c>
      <c r="G171" s="338">
        <f t="shared" si="57"/>
        <v>1</v>
      </c>
      <c r="H171" s="339">
        <f t="shared" si="58"/>
        <v>0</v>
      </c>
      <c r="I171" s="337">
        <f t="shared" si="59"/>
        <v>69528.591042894186</v>
      </c>
      <c r="J171" s="340">
        <f t="shared" si="60"/>
        <v>1.5707819442224176</v>
      </c>
      <c r="K171" s="348">
        <f t="shared" si="81"/>
        <v>1.884208953182124</v>
      </c>
      <c r="L171" s="349">
        <f t="shared" si="82"/>
        <v>1.0113385716943102</v>
      </c>
      <c r="M171" s="337">
        <f t="shared" si="63"/>
        <v>1.0000445250303454</v>
      </c>
      <c r="N171" s="340">
        <f t="shared" si="64"/>
        <v>9.4364589060506408E-3</v>
      </c>
      <c r="O171" s="341">
        <f t="shared" si="65"/>
        <v>1.0000179221822112</v>
      </c>
      <c r="P171" s="342">
        <f t="shared" si="66"/>
        <v>1.425553675137425E-2</v>
      </c>
      <c r="Q171" s="343">
        <f t="shared" si="67"/>
        <v>0.98518092766464216</v>
      </c>
      <c r="R171" s="344">
        <f t="shared" si="68"/>
        <v>-42.160468287544234</v>
      </c>
      <c r="S171" s="346">
        <f t="shared" si="69"/>
        <v>137.83953171245577</v>
      </c>
      <c r="U171" s="319">
        <f t="shared" si="75"/>
        <v>1000000000</v>
      </c>
      <c r="V171" s="319">
        <f t="shared" si="76"/>
        <v>92266110.52562499</v>
      </c>
      <c r="X171" s="345">
        <f t="shared" si="70"/>
        <v>6.366150356766477</v>
      </c>
      <c r="Y171" s="346">
        <f t="shared" si="71"/>
        <v>-32.594413428535503</v>
      </c>
      <c r="AA171" s="345">
        <f t="shared" si="72"/>
        <v>32.836997584244429</v>
      </c>
      <c r="AB171" s="346">
        <f t="shared" si="73"/>
        <v>-9.566054859008732</v>
      </c>
      <c r="AD171">
        <f t="shared" si="77"/>
        <v>0</v>
      </c>
      <c r="AE171">
        <f t="shared" si="80"/>
        <v>0</v>
      </c>
    </row>
    <row r="172" spans="1:31" x14ac:dyDescent="0.2">
      <c r="A172" s="347">
        <v>9661.15</v>
      </c>
      <c r="B172" s="364">
        <f t="shared" si="74"/>
        <v>9.6611499999999992</v>
      </c>
      <c r="C172" s="337">
        <f t="shared" si="53"/>
        <v>1.0119990386546138</v>
      </c>
      <c r="D172" s="338">
        <f t="shared" si="54"/>
        <v>0.154144566481139</v>
      </c>
      <c r="E172" s="338">
        <f t="shared" si="55"/>
        <v>1.0000001627957498</v>
      </c>
      <c r="F172" s="339">
        <f t="shared" si="56"/>
        <v>5.706062172861154E-4</v>
      </c>
      <c r="G172" s="338">
        <f t="shared" si="57"/>
        <v>1</v>
      </c>
      <c r="H172" s="339">
        <f t="shared" si="58"/>
        <v>0</v>
      </c>
      <c r="I172" s="337">
        <f t="shared" si="59"/>
        <v>69931.226804704522</v>
      </c>
      <c r="J172" s="340">
        <f t="shared" si="60"/>
        <v>1.5707820270314614</v>
      </c>
      <c r="K172" s="348">
        <f t="shared" si="81"/>
        <v>1.8920532509155337</v>
      </c>
      <c r="L172" s="349">
        <f t="shared" si="82"/>
        <v>1.0139326184547008</v>
      </c>
      <c r="M172" s="337">
        <f t="shared" si="63"/>
        <v>1.0000450421952265</v>
      </c>
      <c r="N172" s="340">
        <f t="shared" si="64"/>
        <v>9.491101582575252E-3</v>
      </c>
      <c r="O172" s="341">
        <f t="shared" si="65"/>
        <v>1.000018130394984</v>
      </c>
      <c r="P172" s="342">
        <f t="shared" si="66"/>
        <v>1.4338092337008669E-2</v>
      </c>
      <c r="Q172" s="343">
        <f t="shared" si="67"/>
        <v>0.96993047343083649</v>
      </c>
      <c r="R172" s="344">
        <f t="shared" si="68"/>
        <v>-42.069572990895395</v>
      </c>
      <c r="S172" s="346">
        <f t="shared" si="69"/>
        <v>137.93042700910462</v>
      </c>
      <c r="U172" s="319">
        <f t="shared" si="75"/>
        <v>1000000000</v>
      </c>
      <c r="V172" s="319">
        <f t="shared" si="76"/>
        <v>93337819.32249999</v>
      </c>
      <c r="X172" s="345">
        <f t="shared" si="70"/>
        <v>6.3520773399340102</v>
      </c>
      <c r="Y172" s="346">
        <f t="shared" si="71"/>
        <v>-32.448921036494156</v>
      </c>
      <c r="AA172" s="345">
        <f t="shared" si="72"/>
        <v>32.835820146843091</v>
      </c>
      <c r="AB172" s="346">
        <f t="shared" si="73"/>
        <v>-9.6206519544012412</v>
      </c>
      <c r="AD172">
        <f t="shared" si="77"/>
        <v>0</v>
      </c>
      <c r="AE172">
        <f t="shared" si="80"/>
        <v>0</v>
      </c>
    </row>
    <row r="173" spans="1:31" x14ac:dyDescent="0.2">
      <c r="A173" s="347">
        <v>9716.7749999999996</v>
      </c>
      <c r="B173" s="364">
        <f t="shared" si="74"/>
        <v>9.7167750000000002</v>
      </c>
      <c r="C173" s="337">
        <f t="shared" si="53"/>
        <v>1.012136776795366</v>
      </c>
      <c r="D173" s="338">
        <f t="shared" si="54"/>
        <v>0.15501795817878086</v>
      </c>
      <c r="E173" s="338">
        <f t="shared" si="55"/>
        <v>1.0000001646757706</v>
      </c>
      <c r="F173" s="339">
        <f t="shared" si="56"/>
        <v>5.7389153672401027E-4</v>
      </c>
      <c r="G173" s="338">
        <f t="shared" si="57"/>
        <v>1</v>
      </c>
      <c r="H173" s="339">
        <f t="shared" si="58"/>
        <v>0</v>
      </c>
      <c r="I173" s="337">
        <f t="shared" si="59"/>
        <v>70333.862566515323</v>
      </c>
      <c r="J173" s="340">
        <f t="shared" si="60"/>
        <v>1.5707821088924021</v>
      </c>
      <c r="K173" s="348">
        <f t="shared" si="81"/>
        <v>1.8999101752410215</v>
      </c>
      <c r="L173" s="349">
        <f t="shared" si="82"/>
        <v>1.0165052274676785</v>
      </c>
      <c r="M173" s="337">
        <f t="shared" si="63"/>
        <v>1.0000455623460613</v>
      </c>
      <c r="N173" s="340">
        <f t="shared" si="64"/>
        <v>9.54574420242074E-3</v>
      </c>
      <c r="O173" s="341">
        <f t="shared" si="65"/>
        <v>1.0000183398109324</v>
      </c>
      <c r="P173" s="342">
        <f t="shared" si="66"/>
        <v>1.442064796864095E-2</v>
      </c>
      <c r="Q173" s="343">
        <f t="shared" si="67"/>
        <v>0.95486988242895932</v>
      </c>
      <c r="R173" s="344">
        <f t="shared" si="68"/>
        <v>-41.979892346263156</v>
      </c>
      <c r="S173" s="346">
        <f t="shared" si="69"/>
        <v>138.02010765373683</v>
      </c>
      <c r="U173" s="319">
        <f t="shared" si="75"/>
        <v>1000000000</v>
      </c>
      <c r="V173" s="319">
        <f t="shared" si="76"/>
        <v>94415716.40062499</v>
      </c>
      <c r="X173" s="345">
        <f t="shared" si="70"/>
        <v>6.3382006641979416</v>
      </c>
      <c r="Y173" s="346">
        <f t="shared" si="71"/>
        <v>-32.304656879333471</v>
      </c>
      <c r="AA173" s="345">
        <f t="shared" si="72"/>
        <v>32.834636231577278</v>
      </c>
      <c r="AB173" s="346">
        <f t="shared" si="73"/>
        <v>-9.6752354669296796</v>
      </c>
      <c r="AD173">
        <f t="shared" si="77"/>
        <v>0</v>
      </c>
      <c r="AE173">
        <f t="shared" si="80"/>
        <v>0</v>
      </c>
    </row>
    <row r="174" spans="1:31" x14ac:dyDescent="0.2">
      <c r="A174" s="347">
        <v>9772.4</v>
      </c>
      <c r="B174" s="364">
        <f t="shared" si="74"/>
        <v>9.7723999999999993</v>
      </c>
      <c r="C174" s="337">
        <f t="shared" si="53"/>
        <v>1.0122752867968159</v>
      </c>
      <c r="D174" s="338">
        <f t="shared" si="54"/>
        <v>0.15589111152930671</v>
      </c>
      <c r="E174" s="338">
        <f t="shared" si="55"/>
        <v>1.0000001665665847</v>
      </c>
      <c r="F174" s="339">
        <f t="shared" si="56"/>
        <v>5.7717685614951651E-4</v>
      </c>
      <c r="G174" s="338">
        <f t="shared" si="57"/>
        <v>1</v>
      </c>
      <c r="H174" s="339">
        <f t="shared" si="58"/>
        <v>0</v>
      </c>
      <c r="I174" s="337">
        <f t="shared" si="59"/>
        <v>70736.498328326619</v>
      </c>
      <c r="J174" s="340">
        <f t="shared" si="60"/>
        <v>1.5707821898214294</v>
      </c>
      <c r="K174" s="348">
        <f t="shared" si="81"/>
        <v>1.9077795701560134</v>
      </c>
      <c r="L174" s="349">
        <f t="shared" si="82"/>
        <v>1.0190566297545722</v>
      </c>
      <c r="M174" s="337">
        <f t="shared" si="63"/>
        <v>1.0000460854828448</v>
      </c>
      <c r="N174" s="340">
        <f t="shared" si="64"/>
        <v>9.6003867652608849E-3</v>
      </c>
      <c r="O174" s="341">
        <f t="shared" si="65"/>
        <v>1.0000185504300718</v>
      </c>
      <c r="P174" s="342">
        <f t="shared" si="66"/>
        <v>1.4503203646535734E-2</v>
      </c>
      <c r="Q174" s="343">
        <f t="shared" si="67"/>
        <v>0.93999567954133689</v>
      </c>
      <c r="R174" s="344">
        <f t="shared" si="68"/>
        <v>-41.891413047240853</v>
      </c>
      <c r="S174" s="346">
        <f t="shared" si="69"/>
        <v>138.10858695275914</v>
      </c>
      <c r="U174" s="319">
        <f t="shared" si="75"/>
        <v>1000000000</v>
      </c>
      <c r="V174" s="319">
        <f t="shared" si="76"/>
        <v>95499801.75999999</v>
      </c>
      <c r="X174" s="345">
        <f t="shared" si="70"/>
        <v>6.3245168490741399</v>
      </c>
      <c r="Y174" s="346">
        <f t="shared" si="71"/>
        <v>-32.161607721415201</v>
      </c>
      <c r="AA174" s="345">
        <f t="shared" si="72"/>
        <v>32.833445843813458</v>
      </c>
      <c r="AB174" s="346">
        <f t="shared" si="73"/>
        <v>-9.7298053258256516</v>
      </c>
      <c r="AD174">
        <f t="shared" si="77"/>
        <v>0</v>
      </c>
      <c r="AE174">
        <f t="shared" si="80"/>
        <v>0</v>
      </c>
    </row>
    <row r="175" spans="1:31" x14ac:dyDescent="0.2">
      <c r="A175" s="347">
        <v>9829.2999999999993</v>
      </c>
      <c r="B175" s="364">
        <f t="shared" si="74"/>
        <v>9.8292999999999999</v>
      </c>
      <c r="C175" s="337">
        <f t="shared" si="53"/>
        <v>1.0124177699055592</v>
      </c>
      <c r="D175" s="338">
        <f t="shared" si="54"/>
        <v>0.1567840308415864</v>
      </c>
      <c r="E175" s="338">
        <f t="shared" si="55"/>
        <v>1.0000001685119062</v>
      </c>
      <c r="F175" s="339">
        <f t="shared" si="56"/>
        <v>5.8053747951300819E-4</v>
      </c>
      <c r="G175" s="338">
        <f t="shared" si="57"/>
        <v>1</v>
      </c>
      <c r="H175" s="339">
        <f t="shared" si="58"/>
        <v>0</v>
      </c>
      <c r="I175" s="337">
        <f t="shared" si="59"/>
        <v>71148.363044678757</v>
      </c>
      <c r="J175" s="340">
        <f t="shared" si="60"/>
        <v>1.5707822716577544</v>
      </c>
      <c r="K175" s="348">
        <f t="shared" si="81"/>
        <v>1.9158420846320463</v>
      </c>
      <c r="L175" s="349">
        <f t="shared" si="82"/>
        <v>1.0216448102272033</v>
      </c>
      <c r="M175" s="337">
        <f t="shared" si="63"/>
        <v>1.0000466237000201</v>
      </c>
      <c r="N175" s="340">
        <f t="shared" si="64"/>
        <v>9.6562817499963212E-3</v>
      </c>
      <c r="O175" s="341">
        <f t="shared" si="65"/>
        <v>1.000018767121778</v>
      </c>
      <c r="P175" s="342">
        <f t="shared" si="66"/>
        <v>1.4587651660020039E-2</v>
      </c>
      <c r="Q175" s="343">
        <f t="shared" si="67"/>
        <v>0.92496983955072887</v>
      </c>
      <c r="R175" s="344">
        <f t="shared" si="68"/>
        <v>-41.802134938301236</v>
      </c>
      <c r="S175" s="346">
        <f t="shared" si="69"/>
        <v>138.19786506169876</v>
      </c>
      <c r="U175" s="319">
        <f t="shared" si="75"/>
        <v>1000000000</v>
      </c>
      <c r="V175" s="319">
        <f t="shared" si="76"/>
        <v>96615138.48999998</v>
      </c>
      <c r="X175" s="345">
        <f t="shared" si="70"/>
        <v>6.3107153732538404</v>
      </c>
      <c r="Y175" s="346">
        <f t="shared" si="71"/>
        <v>-32.016523139146805</v>
      </c>
      <c r="AA175" s="345">
        <f t="shared" si="72"/>
        <v>32.832221479643152</v>
      </c>
      <c r="AB175" s="346">
        <f t="shared" si="73"/>
        <v>-9.7856117991544238</v>
      </c>
      <c r="AD175">
        <f t="shared" si="77"/>
        <v>0</v>
      </c>
      <c r="AE175">
        <f t="shared" si="80"/>
        <v>0</v>
      </c>
    </row>
    <row r="176" spans="1:31" x14ac:dyDescent="0.2">
      <c r="A176" s="347">
        <v>9886.2000000000007</v>
      </c>
      <c r="B176" s="364">
        <f t="shared" si="74"/>
        <v>9.8862000000000005</v>
      </c>
      <c r="C176" s="337">
        <f t="shared" si="53"/>
        <v>1.0125610599924013</v>
      </c>
      <c r="D176" s="338">
        <f t="shared" si="54"/>
        <v>0.15767669814686811</v>
      </c>
      <c r="E176" s="338">
        <f t="shared" si="55"/>
        <v>1.0000001704685215</v>
      </c>
      <c r="F176" s="339">
        <f t="shared" si="56"/>
        <v>5.8389810286338687E-4</v>
      </c>
      <c r="G176" s="338">
        <f t="shared" si="57"/>
        <v>1</v>
      </c>
      <c r="H176" s="339">
        <f t="shared" si="58"/>
        <v>0</v>
      </c>
      <c r="I176" s="337">
        <f t="shared" si="59"/>
        <v>71560.22776103139</v>
      </c>
      <c r="J176" s="340">
        <f t="shared" si="60"/>
        <v>1.5707823525520621</v>
      </c>
      <c r="K176" s="348">
        <f t="shared" si="81"/>
        <v>1.9239173251047006</v>
      </c>
      <c r="L176" s="349">
        <f t="shared" si="82"/>
        <v>1.0242112810796873</v>
      </c>
      <c r="M176" s="337">
        <f t="shared" si="63"/>
        <v>1.000047165041587</v>
      </c>
      <c r="N176" s="340">
        <f t="shared" si="64"/>
        <v>9.7121766743926852E-3</v>
      </c>
      <c r="O176" s="341">
        <f t="shared" si="65"/>
        <v>1.0000189850724985</v>
      </c>
      <c r="P176" s="342">
        <f t="shared" si="66"/>
        <v>1.4672099722472109E-2</v>
      </c>
      <c r="Q176" s="343">
        <f t="shared" si="67"/>
        <v>0.91013190816379608</v>
      </c>
      <c r="R176" s="344">
        <f t="shared" si="68"/>
        <v>-41.714086205410474</v>
      </c>
      <c r="S176" s="346">
        <f t="shared" si="69"/>
        <v>138.28591379458953</v>
      </c>
      <c r="U176" s="319">
        <f t="shared" si="75"/>
        <v>1000000000</v>
      </c>
      <c r="V176" s="319">
        <f t="shared" si="76"/>
        <v>97736950.440000013</v>
      </c>
      <c r="X176" s="345">
        <f t="shared" si="70"/>
        <v>6.297108567210441</v>
      </c>
      <c r="Y176" s="346">
        <f t="shared" si="71"/>
        <v>-31.872682369058296</v>
      </c>
      <c r="AA176" s="345">
        <f t="shared" si="72"/>
        <v>32.830990354299615</v>
      </c>
      <c r="AB176" s="346">
        <f t="shared" si="73"/>
        <v>-9.8414038363521836</v>
      </c>
      <c r="AD176">
        <f t="shared" si="77"/>
        <v>0</v>
      </c>
      <c r="AE176">
        <f t="shared" si="80"/>
        <v>0</v>
      </c>
    </row>
    <row r="177" spans="1:31" x14ac:dyDescent="0.2">
      <c r="A177" s="347">
        <v>9943.1</v>
      </c>
      <c r="B177" s="364">
        <f t="shared" si="74"/>
        <v>9.9431000000000012</v>
      </c>
      <c r="C177" s="337">
        <f t="shared" si="53"/>
        <v>1.0127051567147984</v>
      </c>
      <c r="D177" s="338">
        <f t="shared" si="54"/>
        <v>0.15856911212977357</v>
      </c>
      <c r="E177" s="338">
        <f t="shared" si="55"/>
        <v>1.0000001724364305</v>
      </c>
      <c r="F177" s="339">
        <f t="shared" si="56"/>
        <v>5.8725872620057679E-4</v>
      </c>
      <c r="G177" s="338">
        <f t="shared" si="57"/>
        <v>1</v>
      </c>
      <c r="H177" s="339">
        <f t="shared" si="58"/>
        <v>0</v>
      </c>
      <c r="I177" s="337">
        <f t="shared" si="59"/>
        <v>71972.092477384474</v>
      </c>
      <c r="J177" s="340">
        <f t="shared" si="60"/>
        <v>1.5707824325205242</v>
      </c>
      <c r="K177" s="348">
        <f t="shared" si="81"/>
        <v>1.9320051320006737</v>
      </c>
      <c r="L177" s="349">
        <f t="shared" si="82"/>
        <v>1.0267562809333577</v>
      </c>
      <c r="M177" s="337">
        <f t="shared" si="63"/>
        <v>1.0000477095075404</v>
      </c>
      <c r="N177" s="340">
        <f t="shared" si="64"/>
        <v>9.7680715381008136E-3</v>
      </c>
      <c r="O177" s="341">
        <f t="shared" si="65"/>
        <v>1.0000192042822504</v>
      </c>
      <c r="P177" s="342">
        <f t="shared" si="66"/>
        <v>1.4756547834175189E-2</v>
      </c>
      <c r="Q177" s="343">
        <f t="shared" si="67"/>
        <v>0.89547839903924209</v>
      </c>
      <c r="R177" s="344">
        <f t="shared" si="68"/>
        <v>-41.627253102130467</v>
      </c>
      <c r="S177" s="346">
        <f t="shared" si="69"/>
        <v>138.37274689786955</v>
      </c>
      <c r="U177" s="319">
        <f t="shared" si="75"/>
        <v>1000000000</v>
      </c>
      <c r="V177" s="319">
        <f t="shared" si="76"/>
        <v>98865237.610000014</v>
      </c>
      <c r="X177" s="345">
        <f t="shared" si="70"/>
        <v>6.2836929387748377</v>
      </c>
      <c r="Y177" s="346">
        <f t="shared" si="71"/>
        <v>-31.730071740060922</v>
      </c>
      <c r="AA177" s="345">
        <f t="shared" si="72"/>
        <v>32.829752473610661</v>
      </c>
      <c r="AB177" s="346">
        <f t="shared" si="73"/>
        <v>-9.8971813620695439</v>
      </c>
      <c r="AD177">
        <f t="shared" si="77"/>
        <v>0</v>
      </c>
      <c r="AE177">
        <f t="shared" si="80"/>
        <v>0</v>
      </c>
    </row>
    <row r="178" spans="1:31" x14ac:dyDescent="0.2">
      <c r="A178" s="347">
        <v>10000</v>
      </c>
      <c r="B178" s="364">
        <f t="shared" si="74"/>
        <v>10</v>
      </c>
      <c r="C178" s="337">
        <f t="shared" si="53"/>
        <v>1.012850059728474</v>
      </c>
      <c r="D178" s="338">
        <f t="shared" si="54"/>
        <v>0.15946127147728509</v>
      </c>
      <c r="E178" s="338">
        <f t="shared" si="55"/>
        <v>1.0000001744156333</v>
      </c>
      <c r="F178" s="339">
        <f t="shared" si="56"/>
        <v>5.9061934952450181E-4</v>
      </c>
      <c r="G178" s="338">
        <f t="shared" si="57"/>
        <v>1</v>
      </c>
      <c r="H178" s="339">
        <f t="shared" si="58"/>
        <v>0</v>
      </c>
      <c r="I178" s="337">
        <f t="shared" si="59"/>
        <v>72383.957193737995</v>
      </c>
      <c r="J178" s="340">
        <f t="shared" si="60"/>
        <v>1.5707825115789456</v>
      </c>
      <c r="K178" s="348">
        <f t="shared" si="81"/>
        <v>1.9401053481612831</v>
      </c>
      <c r="L178" s="349">
        <f t="shared" si="82"/>
        <v>1.0292800455462783</v>
      </c>
      <c r="M178" s="337">
        <f t="shared" si="63"/>
        <v>1.0000482570978753</v>
      </c>
      <c r="N178" s="340">
        <f t="shared" si="64"/>
        <v>9.8239663407715498E-3</v>
      </c>
      <c r="O178" s="341">
        <f t="shared" si="65"/>
        <v>1.0000194247510512</v>
      </c>
      <c r="P178" s="342">
        <f t="shared" si="66"/>
        <v>1.4840995995412522E-2</v>
      </c>
      <c r="Q178" s="343">
        <f t="shared" si="67"/>
        <v>0.8810059006479859</v>
      </c>
      <c r="R178" s="344">
        <f t="shared" si="68"/>
        <v>-41.54162204619054</v>
      </c>
      <c r="S178" s="346">
        <f t="shared" si="69"/>
        <v>138.45837795380947</v>
      </c>
      <c r="U178" s="319">
        <f t="shared" si="75"/>
        <v>1000000000</v>
      </c>
      <c r="V178" s="319">
        <f t="shared" si="76"/>
        <v>100000000</v>
      </c>
      <c r="X178" s="345">
        <f t="shared" si="70"/>
        <v>6.2704650705620608</v>
      </c>
      <c r="Y178" s="346">
        <f t="shared" si="71"/>
        <v>-31.588677745098167</v>
      </c>
      <c r="AA178" s="345">
        <f t="shared" si="72"/>
        <v>32.828507843432185</v>
      </c>
      <c r="AB178" s="346">
        <f t="shared" si="73"/>
        <v>-9.9529443010923639</v>
      </c>
      <c r="AD178">
        <f t="shared" si="77"/>
        <v>0</v>
      </c>
      <c r="AE178">
        <f t="shared" si="80"/>
        <v>0</v>
      </c>
    </row>
    <row r="179" spans="1:31" x14ac:dyDescent="0.2">
      <c r="A179" s="347">
        <v>10058.25</v>
      </c>
      <c r="B179" s="364">
        <f t="shared" si="74"/>
        <v>10.058249999999999</v>
      </c>
      <c r="C179" s="337">
        <f t="shared" si="53"/>
        <v>1.0129992355389674</v>
      </c>
      <c r="D179" s="338">
        <f t="shared" si="54"/>
        <v>0.16037433291248729</v>
      </c>
      <c r="E179" s="338">
        <f t="shared" si="55"/>
        <v>1.0000001764534934</v>
      </c>
      <c r="F179" s="339">
        <f t="shared" si="56"/>
        <v>5.9405970642840847E-4</v>
      </c>
      <c r="G179" s="338">
        <f t="shared" si="57"/>
        <v>1</v>
      </c>
      <c r="H179" s="339">
        <f t="shared" si="58"/>
        <v>0</v>
      </c>
      <c r="I179" s="337">
        <f t="shared" si="59"/>
        <v>72805.593744311278</v>
      </c>
      <c r="J179" s="340">
        <f t="shared" si="60"/>
        <v>1.5707825915865341</v>
      </c>
      <c r="K179" s="348">
        <f t="shared" si="81"/>
        <v>1.9484104415101282</v>
      </c>
      <c r="L179" s="349">
        <f t="shared" si="82"/>
        <v>1.0318419347962096</v>
      </c>
      <c r="M179" s="337">
        <f t="shared" si="63"/>
        <v>1.0000488209166962</v>
      </c>
      <c r="N179" s="340">
        <f t="shared" si="64"/>
        <v>9.8811872307051577E-3</v>
      </c>
      <c r="O179" s="341">
        <f t="shared" si="65"/>
        <v>1.0000196517548874</v>
      </c>
      <c r="P179" s="342">
        <f t="shared" si="66"/>
        <v>1.4927447811379136E-2</v>
      </c>
      <c r="Q179" s="343">
        <f t="shared" si="67"/>
        <v>0.86637404855717604</v>
      </c>
      <c r="R179" s="344">
        <f t="shared" si="68"/>
        <v>-41.455190477009872</v>
      </c>
      <c r="S179" s="346">
        <f t="shared" si="69"/>
        <v>138.54480952299014</v>
      </c>
      <c r="U179" s="319">
        <f t="shared" si="75"/>
        <v>1000000000</v>
      </c>
      <c r="V179" s="319">
        <f t="shared" si="76"/>
        <v>101168393.0625</v>
      </c>
      <c r="X179" s="345">
        <f t="shared" si="70"/>
        <v>6.2571143639915565</v>
      </c>
      <c r="Y179" s="346">
        <f t="shared" si="71"/>
        <v>-31.445175402923528</v>
      </c>
      <c r="AA179" s="345">
        <f t="shared" si="72"/>
        <v>32.827226697911883</v>
      </c>
      <c r="AB179" s="346">
        <f t="shared" si="73"/>
        <v>-10.010015074086336</v>
      </c>
      <c r="AD179">
        <f t="shared" si="77"/>
        <v>0</v>
      </c>
      <c r="AE179">
        <f t="shared" si="80"/>
        <v>0</v>
      </c>
    </row>
    <row r="180" spans="1:31" x14ac:dyDescent="0.2">
      <c r="A180" s="347">
        <v>10116.5</v>
      </c>
      <c r="B180" s="364">
        <f t="shared" si="74"/>
        <v>10.1165</v>
      </c>
      <c r="C180" s="337">
        <f t="shared" si="53"/>
        <v>1.0131492556187593</v>
      </c>
      <c r="D180" s="338">
        <f t="shared" si="54"/>
        <v>0.16128712470893355</v>
      </c>
      <c r="E180" s="338">
        <f t="shared" si="55"/>
        <v>1.0000001785031893</v>
      </c>
      <c r="F180" s="339">
        <f t="shared" si="56"/>
        <v>5.9750006331825249E-4</v>
      </c>
      <c r="G180" s="338">
        <f t="shared" si="57"/>
        <v>1</v>
      </c>
      <c r="H180" s="339">
        <f t="shared" si="58"/>
        <v>0</v>
      </c>
      <c r="I180" s="337">
        <f t="shared" si="59"/>
        <v>73227.230294885027</v>
      </c>
      <c r="J180" s="340">
        <f t="shared" si="60"/>
        <v>1.5707826706727683</v>
      </c>
      <c r="K180" s="348">
        <f t="shared" si="81"/>
        <v>1.9567282142129423</v>
      </c>
      <c r="L180" s="349">
        <f t="shared" si="82"/>
        <v>1.0343820601478559</v>
      </c>
      <c r="M180" s="337">
        <f t="shared" si="63"/>
        <v>1.0000493880099037</v>
      </c>
      <c r="N180" s="340">
        <f t="shared" si="64"/>
        <v>9.9384080559301678E-3</v>
      </c>
      <c r="O180" s="341">
        <f t="shared" si="65"/>
        <v>1.000019880078262</v>
      </c>
      <c r="P180" s="342">
        <f t="shared" si="66"/>
        <v>1.5013899679859083E-2</v>
      </c>
      <c r="Q180" s="343">
        <f t="shared" si="67"/>
        <v>0.85192489517866521</v>
      </c>
      <c r="R180" s="344">
        <f t="shared" si="68"/>
        <v>-41.369990384697715</v>
      </c>
      <c r="S180" s="346">
        <f t="shared" si="69"/>
        <v>138.6300096153023</v>
      </c>
      <c r="U180" s="319">
        <f t="shared" si="75"/>
        <v>1000000000</v>
      </c>
      <c r="V180" s="319">
        <f t="shared" si="76"/>
        <v>102343572.25</v>
      </c>
      <c r="X180" s="345">
        <f t="shared" si="70"/>
        <v>6.2439534171873454</v>
      </c>
      <c r="Y180" s="346">
        <f t="shared" si="71"/>
        <v>-31.30291998377054</v>
      </c>
      <c r="AA180" s="345">
        <f t="shared" si="72"/>
        <v>32.825938491337581</v>
      </c>
      <c r="AB180" s="346">
        <f t="shared" si="73"/>
        <v>-10.067070400927182</v>
      </c>
      <c r="AD180">
        <f t="shared" si="77"/>
        <v>0</v>
      </c>
      <c r="AE180">
        <f t="shared" si="80"/>
        <v>0</v>
      </c>
    </row>
    <row r="181" spans="1:31" x14ac:dyDescent="0.2">
      <c r="A181" s="347">
        <v>10174.75</v>
      </c>
      <c r="B181" s="364">
        <f t="shared" si="74"/>
        <v>10.17475</v>
      </c>
      <c r="C181" s="337">
        <f t="shared" si="53"/>
        <v>1.0133001195928653</v>
      </c>
      <c r="D181" s="338">
        <f t="shared" si="54"/>
        <v>0.16219964546566809</v>
      </c>
      <c r="E181" s="338">
        <f t="shared" si="55"/>
        <v>1.0000001805647216</v>
      </c>
      <c r="F181" s="339">
        <f t="shared" si="56"/>
        <v>6.0094042019395244E-4</v>
      </c>
      <c r="G181" s="338">
        <f t="shared" si="57"/>
        <v>1</v>
      </c>
      <c r="H181" s="339">
        <f t="shared" si="58"/>
        <v>0</v>
      </c>
      <c r="I181" s="337">
        <f t="shared" si="59"/>
        <v>73648.866845459212</v>
      </c>
      <c r="J181" s="340">
        <f t="shared" si="60"/>
        <v>1.5707827488534718</v>
      </c>
      <c r="K181" s="348">
        <f t="shared" si="81"/>
        <v>1.9650585052608092</v>
      </c>
      <c r="L181" s="349">
        <f t="shared" si="82"/>
        <v>1.0369006653979511</v>
      </c>
      <c r="M181" s="337">
        <f t="shared" si="63"/>
        <v>1.000049958377492</v>
      </c>
      <c r="N181" s="340">
        <f t="shared" si="64"/>
        <v>9.9956288160719838E-3</v>
      </c>
      <c r="O181" s="341">
        <f t="shared" si="65"/>
        <v>1.0000201097211936</v>
      </c>
      <c r="P181" s="342">
        <f t="shared" si="66"/>
        <v>1.5100351601156244E-2</v>
      </c>
      <c r="Q181" s="343">
        <f t="shared" si="67"/>
        <v>0.83765501212013038</v>
      </c>
      <c r="R181" s="344">
        <f t="shared" si="68"/>
        <v>-41.28600772136393</v>
      </c>
      <c r="S181" s="346">
        <f t="shared" si="69"/>
        <v>138.71399227863606</v>
      </c>
      <c r="U181" s="319">
        <f t="shared" si="75"/>
        <v>1000000000</v>
      </c>
      <c r="V181" s="319">
        <f t="shared" si="76"/>
        <v>103525537.5625</v>
      </c>
      <c r="X181" s="345">
        <f t="shared" si="70"/>
        <v>6.2309787953835851</v>
      </c>
      <c r="Y181" s="346">
        <f t="shared" si="71"/>
        <v>-31.161897520000466</v>
      </c>
      <c r="AA181" s="345">
        <f t="shared" si="72"/>
        <v>32.824643230082806</v>
      </c>
      <c r="AB181" s="346">
        <f t="shared" si="73"/>
        <v>-10.124110201363459</v>
      </c>
      <c r="AD181">
        <f t="shared" si="77"/>
        <v>0</v>
      </c>
      <c r="AE181">
        <f t="shared" si="80"/>
        <v>0</v>
      </c>
    </row>
    <row r="182" spans="1:31" x14ac:dyDescent="0.2">
      <c r="A182" s="347">
        <v>10233</v>
      </c>
      <c r="B182" s="364">
        <f t="shared" si="74"/>
        <v>10.233000000000001</v>
      </c>
      <c r="C182" s="337">
        <f t="shared" si="53"/>
        <v>1.0134518270844148</v>
      </c>
      <c r="D182" s="338">
        <f t="shared" si="54"/>
        <v>0.16311189378437246</v>
      </c>
      <c r="E182" s="338">
        <f t="shared" si="55"/>
        <v>1.0000001826380895</v>
      </c>
      <c r="F182" s="339">
        <f t="shared" si="56"/>
        <v>6.043807770554268E-4</v>
      </c>
      <c r="G182" s="338">
        <f t="shared" si="57"/>
        <v>1</v>
      </c>
      <c r="H182" s="339">
        <f t="shared" si="58"/>
        <v>0</v>
      </c>
      <c r="I182" s="337">
        <f t="shared" si="59"/>
        <v>74070.503396033862</v>
      </c>
      <c r="J182" s="340">
        <f t="shared" si="60"/>
        <v>1.5707828261441088</v>
      </c>
      <c r="K182" s="348">
        <f t="shared" si="81"/>
        <v>1.9734011561231841</v>
      </c>
      <c r="L182" s="349">
        <f t="shared" si="82"/>
        <v>1.0393979913219604</v>
      </c>
      <c r="M182" s="337">
        <f t="shared" si="63"/>
        <v>1.0000505320194553</v>
      </c>
      <c r="N182" s="340">
        <f t="shared" si="64"/>
        <v>1.0052849510756011E-2</v>
      </c>
      <c r="O182" s="341">
        <f t="shared" si="65"/>
        <v>1.0000203406837009</v>
      </c>
      <c r="P182" s="342">
        <f t="shared" si="66"/>
        <v>1.5186803575574481E-2</v>
      </c>
      <c r="Q182" s="343">
        <f t="shared" si="67"/>
        <v>0.82356104531306051</v>
      </c>
      <c r="R182" s="344">
        <f t="shared" si="68"/>
        <v>-41.2032286123547</v>
      </c>
      <c r="S182" s="346">
        <f t="shared" si="69"/>
        <v>138.79677138764529</v>
      </c>
      <c r="U182" s="319">
        <f t="shared" si="75"/>
        <v>1000000000</v>
      </c>
      <c r="V182" s="319">
        <f t="shared" si="76"/>
        <v>104714289</v>
      </c>
      <c r="X182" s="345">
        <f t="shared" si="70"/>
        <v>6.2181871381078171</v>
      </c>
      <c r="Y182" s="346">
        <f t="shared" si="71"/>
        <v>-31.022094217059859</v>
      </c>
      <c r="AA182" s="345">
        <f t="shared" si="72"/>
        <v>32.823340920551509</v>
      </c>
      <c r="AB182" s="346">
        <f t="shared" si="73"/>
        <v>-10.181134395294841</v>
      </c>
      <c r="AD182">
        <f t="shared" si="77"/>
        <v>0</v>
      </c>
      <c r="AE182">
        <f t="shared" si="80"/>
        <v>0</v>
      </c>
    </row>
    <row r="183" spans="1:31" x14ac:dyDescent="0.2">
      <c r="A183" s="347">
        <v>10292.5</v>
      </c>
      <c r="B183" s="364">
        <f t="shared" si="74"/>
        <v>10.2925</v>
      </c>
      <c r="C183" s="337">
        <f t="shared" si="53"/>
        <v>1.0136076605712088</v>
      </c>
      <c r="D183" s="338">
        <f t="shared" si="54"/>
        <v>0.16404343552582348</v>
      </c>
      <c r="E183" s="338">
        <f t="shared" si="55"/>
        <v>1.0000001847681705</v>
      </c>
      <c r="F183" s="339">
        <f t="shared" si="56"/>
        <v>6.0789496130259069E-4</v>
      </c>
      <c r="G183" s="338">
        <f t="shared" si="57"/>
        <v>1</v>
      </c>
      <c r="H183" s="339">
        <f t="shared" si="58"/>
        <v>0</v>
      </c>
      <c r="I183" s="337">
        <f t="shared" si="59"/>
        <v>74501.187941256474</v>
      </c>
      <c r="J183" s="340">
        <f t="shared" si="60"/>
        <v>1.5707829041901347</v>
      </c>
      <c r="K183" s="348">
        <f t="shared" si="81"/>
        <v>1.9819354320424558</v>
      </c>
      <c r="L183" s="349">
        <f t="shared" si="82"/>
        <v>1.0419271859827246</v>
      </c>
      <c r="M183" s="337">
        <f t="shared" si="63"/>
        <v>1.0000511213518537</v>
      </c>
      <c r="N183" s="340">
        <f t="shared" si="64"/>
        <v>1.0111298049373756E-2</v>
      </c>
      <c r="O183" s="341">
        <f t="shared" si="65"/>
        <v>1.0000205779648605</v>
      </c>
      <c r="P183" s="342">
        <f t="shared" si="66"/>
        <v>1.5275110797735981E-2</v>
      </c>
      <c r="Q183" s="343">
        <f t="shared" si="67"/>
        <v>0.80934284034533954</v>
      </c>
      <c r="R183" s="344">
        <f t="shared" si="68"/>
        <v>-41.119901452350078</v>
      </c>
      <c r="S183" s="346">
        <f t="shared" si="69"/>
        <v>138.88009854764994</v>
      </c>
      <c r="U183" s="319">
        <f t="shared" si="75"/>
        <v>1000000000</v>
      </c>
      <c r="V183" s="319">
        <f t="shared" si="76"/>
        <v>105935556.25</v>
      </c>
      <c r="X183" s="345">
        <f t="shared" si="70"/>
        <v>6.2053064593125296</v>
      </c>
      <c r="Y183" s="346">
        <f t="shared" si="71"/>
        <v>-30.8805353635587</v>
      </c>
      <c r="AA183" s="345">
        <f t="shared" si="72"/>
        <v>32.822003394379074</v>
      </c>
      <c r="AB183" s="346">
        <f t="shared" si="73"/>
        <v>-10.239366088791375</v>
      </c>
      <c r="AD183">
        <f t="shared" si="77"/>
        <v>0</v>
      </c>
      <c r="AE183">
        <f t="shared" si="80"/>
        <v>0</v>
      </c>
    </row>
    <row r="184" spans="1:31" x14ac:dyDescent="0.2">
      <c r="A184" s="347">
        <v>10352</v>
      </c>
      <c r="B184" s="364">
        <f t="shared" si="74"/>
        <v>10.352</v>
      </c>
      <c r="C184" s="337">
        <f t="shared" si="53"/>
        <v>1.0137643733654802</v>
      </c>
      <c r="D184" s="338">
        <f t="shared" si="54"/>
        <v>0.16497469007036883</v>
      </c>
      <c r="E184" s="338">
        <f t="shared" si="55"/>
        <v>1.0000001869106008</v>
      </c>
      <c r="F184" s="339">
        <f t="shared" si="56"/>
        <v>6.1140914553474001E-4</v>
      </c>
      <c r="G184" s="338">
        <f t="shared" si="57"/>
        <v>1</v>
      </c>
      <c r="H184" s="339">
        <f t="shared" si="58"/>
        <v>0</v>
      </c>
      <c r="I184" s="337">
        <f t="shared" si="59"/>
        <v>74931.872486479537</v>
      </c>
      <c r="J184" s="340">
        <f t="shared" si="60"/>
        <v>1.5707829813389933</v>
      </c>
      <c r="K184" s="348">
        <f t="shared" si="81"/>
        <v>1.9904822772943003</v>
      </c>
      <c r="L184" s="349">
        <f t="shared" si="82"/>
        <v>1.0444346765711172</v>
      </c>
      <c r="M184" s="337">
        <f t="shared" si="63"/>
        <v>1.0000517141006546</v>
      </c>
      <c r="N184" s="340">
        <f t="shared" si="64"/>
        <v>1.0169746518904156E-2</v>
      </c>
      <c r="O184" s="341">
        <f t="shared" si="65"/>
        <v>1.0000208166228781</v>
      </c>
      <c r="P184" s="342">
        <f t="shared" si="66"/>
        <v>1.5363418075963786E-2</v>
      </c>
      <c r="Q184" s="343">
        <f t="shared" si="67"/>
        <v>0.79530133770912459</v>
      </c>
      <c r="R184" s="344">
        <f t="shared" si="68"/>
        <v>-41.037801336772304</v>
      </c>
      <c r="S184" s="346">
        <f t="shared" si="69"/>
        <v>138.9621986632277</v>
      </c>
      <c r="U184" s="319">
        <f t="shared" si="75"/>
        <v>1000000000</v>
      </c>
      <c r="V184" s="319">
        <f t="shared" si="76"/>
        <v>107163904</v>
      </c>
      <c r="X184" s="345">
        <f t="shared" si="70"/>
        <v>6.1926098232685831</v>
      </c>
      <c r="Y184" s="346">
        <f t="shared" si="71"/>
        <v>-30.740220006441774</v>
      </c>
      <c r="AA184" s="345">
        <f t="shared" si="72"/>
        <v>32.820658527786797</v>
      </c>
      <c r="AB184" s="346">
        <f t="shared" si="73"/>
        <v>-10.29758133033053</v>
      </c>
      <c r="AD184">
        <f t="shared" si="77"/>
        <v>0</v>
      </c>
      <c r="AE184">
        <f t="shared" si="80"/>
        <v>0</v>
      </c>
    </row>
    <row r="185" spans="1:31" x14ac:dyDescent="0.2">
      <c r="A185" s="347">
        <v>10411.5</v>
      </c>
      <c r="B185" s="364">
        <f t="shared" si="74"/>
        <v>10.4115</v>
      </c>
      <c r="C185" s="337">
        <f t="shared" si="53"/>
        <v>1.0139219650595088</v>
      </c>
      <c r="D185" s="338">
        <f t="shared" si="54"/>
        <v>0.16590565593631981</v>
      </c>
      <c r="E185" s="338">
        <f t="shared" si="55"/>
        <v>1.0000001890653807</v>
      </c>
      <c r="F185" s="339">
        <f t="shared" si="56"/>
        <v>6.1492332975178823E-4</v>
      </c>
      <c r="G185" s="338">
        <f t="shared" si="57"/>
        <v>1</v>
      </c>
      <c r="H185" s="339">
        <f t="shared" si="58"/>
        <v>0</v>
      </c>
      <c r="I185" s="337">
        <f t="shared" si="59"/>
        <v>75362.557031703051</v>
      </c>
      <c r="J185" s="340">
        <f t="shared" si="60"/>
        <v>1.5707830576060657</v>
      </c>
      <c r="K185" s="348">
        <f t="shared" si="81"/>
        <v>1.9990415306592513</v>
      </c>
      <c r="L185" s="349">
        <f t="shared" si="82"/>
        <v>1.0469207101415465</v>
      </c>
      <c r="M185" s="337">
        <f t="shared" si="63"/>
        <v>1.0000523102658514</v>
      </c>
      <c r="N185" s="340">
        <f t="shared" si="64"/>
        <v>1.0228194918947988E-2</v>
      </c>
      <c r="O185" s="341">
        <f t="shared" si="65"/>
        <v>1.0000210566577739</v>
      </c>
      <c r="P185" s="342">
        <f t="shared" si="66"/>
        <v>1.545172541058174E-2</v>
      </c>
      <c r="Q185" s="343">
        <f t="shared" si="67"/>
        <v>0.78143319110284326</v>
      </c>
      <c r="R185" s="344">
        <f t="shared" si="68"/>
        <v>-40.956914026428926</v>
      </c>
      <c r="S185" s="346">
        <f t="shared" si="69"/>
        <v>139.04308597357107</v>
      </c>
      <c r="U185" s="319">
        <f t="shared" si="75"/>
        <v>1000000000</v>
      </c>
      <c r="V185" s="319">
        <f t="shared" si="76"/>
        <v>108399332.25</v>
      </c>
      <c r="X185" s="345">
        <f t="shared" si="70"/>
        <v>6.1800938767515685</v>
      </c>
      <c r="Y185" s="346">
        <f t="shared" si="71"/>
        <v>-30.601133991392576</v>
      </c>
      <c r="AA185" s="345">
        <f t="shared" si="72"/>
        <v>32.819306327697532</v>
      </c>
      <c r="AB185" s="346">
        <f t="shared" si="73"/>
        <v>-10.355780035036354</v>
      </c>
      <c r="AD185">
        <f t="shared" si="77"/>
        <v>0</v>
      </c>
      <c r="AE185">
        <f t="shared" si="80"/>
        <v>0</v>
      </c>
    </row>
    <row r="186" spans="1:31" x14ac:dyDescent="0.2">
      <c r="A186" s="347">
        <v>10471</v>
      </c>
      <c r="B186" s="364">
        <f t="shared" si="74"/>
        <v>10.471</v>
      </c>
      <c r="C186" s="337">
        <f t="shared" si="53"/>
        <v>1.0140804352435422</v>
      </c>
      <c r="D186" s="338">
        <f t="shared" si="54"/>
        <v>0.16683633164490777</v>
      </c>
      <c r="E186" s="338">
        <f t="shared" si="55"/>
        <v>1.0000001912325098</v>
      </c>
      <c r="F186" s="339">
        <f t="shared" si="56"/>
        <v>6.1843751395364863E-4</v>
      </c>
      <c r="G186" s="338">
        <f t="shared" si="57"/>
        <v>1</v>
      </c>
      <c r="H186" s="339">
        <f t="shared" si="58"/>
        <v>0</v>
      </c>
      <c r="I186" s="337">
        <f t="shared" si="59"/>
        <v>75793.241576926986</v>
      </c>
      <c r="J186" s="340">
        <f t="shared" si="60"/>
        <v>1.5707831330063844</v>
      </c>
      <c r="K186" s="348">
        <f t="shared" si="81"/>
        <v>2.0076130334351419</v>
      </c>
      <c r="L186" s="349">
        <f t="shared" si="82"/>
        <v>1.0493855305993092</v>
      </c>
      <c r="M186" s="337">
        <f t="shared" si="63"/>
        <v>1.0000529098474384</v>
      </c>
      <c r="N186" s="340">
        <f t="shared" si="64"/>
        <v>1.0286643249106031E-2</v>
      </c>
      <c r="O186" s="341">
        <f t="shared" si="65"/>
        <v>1.0000212980695689</v>
      </c>
      <c r="P186" s="342">
        <f t="shared" si="66"/>
        <v>1.5540032801913675E-2</v>
      </c>
      <c r="Q186" s="343">
        <f t="shared" si="67"/>
        <v>0.76773512734128357</v>
      </c>
      <c r="R186" s="344">
        <f t="shared" si="68"/>
        <v>-40.87722546270561</v>
      </c>
      <c r="S186" s="346">
        <f t="shared" si="69"/>
        <v>139.12277453729439</v>
      </c>
      <c r="U186" s="319">
        <f t="shared" si="75"/>
        <v>1000000000</v>
      </c>
      <c r="V186" s="319">
        <f t="shared" si="76"/>
        <v>109641841</v>
      </c>
      <c r="X186" s="345">
        <f t="shared" si="70"/>
        <v>6.1677553396207516</v>
      </c>
      <c r="Y186" s="346">
        <f t="shared" si="71"/>
        <v>-30.463263344505407</v>
      </c>
      <c r="AA186" s="345">
        <f t="shared" si="72"/>
        <v>32.817946801066789</v>
      </c>
      <c r="AB186" s="346">
        <f t="shared" si="73"/>
        <v>-10.413962118200207</v>
      </c>
      <c r="AD186">
        <f t="shared" si="77"/>
        <v>0</v>
      </c>
      <c r="AE186">
        <f t="shared" si="80"/>
        <v>0</v>
      </c>
    </row>
    <row r="187" spans="1:31" x14ac:dyDescent="0.2">
      <c r="A187" s="347">
        <v>10532</v>
      </c>
      <c r="B187" s="364">
        <f t="shared" si="74"/>
        <v>10.532</v>
      </c>
      <c r="C187" s="337">
        <f t="shared" si="53"/>
        <v>1.014243812032521</v>
      </c>
      <c r="D187" s="338">
        <f t="shared" si="54"/>
        <v>0.16779016699944263</v>
      </c>
      <c r="E187" s="338">
        <f t="shared" si="55"/>
        <v>1.000000193467093</v>
      </c>
      <c r="F187" s="339">
        <f t="shared" si="56"/>
        <v>6.2204029101868932E-4</v>
      </c>
      <c r="G187" s="338">
        <f t="shared" si="57"/>
        <v>1</v>
      </c>
      <c r="H187" s="339">
        <f t="shared" si="58"/>
        <v>0</v>
      </c>
      <c r="I187" s="337">
        <f t="shared" si="59"/>
        <v>76234.783715728452</v>
      </c>
      <c r="J187" s="340">
        <f t="shared" si="60"/>
        <v>1.5707832094231238</v>
      </c>
      <c r="K187" s="348">
        <f t="shared" si="81"/>
        <v>2.0164131774999503</v>
      </c>
      <c r="L187" s="349">
        <f t="shared" si="82"/>
        <v>1.0518907194118097</v>
      </c>
      <c r="M187" s="337">
        <f t="shared" si="63"/>
        <v>1.0000535280911882</v>
      </c>
      <c r="N187" s="340">
        <f t="shared" si="64"/>
        <v>1.0346564993610322E-2</v>
      </c>
      <c r="O187" s="341">
        <f t="shared" si="65"/>
        <v>1.000021546996801</v>
      </c>
      <c r="P187" s="342">
        <f t="shared" si="66"/>
        <v>1.5630566489217537E-2</v>
      </c>
      <c r="Q187" s="343">
        <f t="shared" si="67"/>
        <v>0.75386495136620835</v>
      </c>
      <c r="R187" s="344">
        <f t="shared" si="68"/>
        <v>-40.796757872622933</v>
      </c>
      <c r="S187" s="346">
        <f t="shared" si="69"/>
        <v>139.20324212737705</v>
      </c>
      <c r="U187" s="319">
        <f t="shared" si="75"/>
        <v>1000000000</v>
      </c>
      <c r="V187" s="319">
        <f t="shared" si="76"/>
        <v>110923024</v>
      </c>
      <c r="X187" s="345">
        <f t="shared" si="70"/>
        <v>6.155286562665033</v>
      </c>
      <c r="Y187" s="346">
        <f t="shared" si="71"/>
        <v>-30.323164239923461</v>
      </c>
      <c r="AA187" s="345">
        <f t="shared" si="72"/>
        <v>32.816545402047439</v>
      </c>
      <c r="AB187" s="346">
        <f t="shared" si="73"/>
        <v>-10.473593632699473</v>
      </c>
      <c r="AD187">
        <f t="shared" si="77"/>
        <v>0</v>
      </c>
      <c r="AE187">
        <f t="shared" si="80"/>
        <v>0</v>
      </c>
    </row>
    <row r="188" spans="1:31" x14ac:dyDescent="0.2">
      <c r="A188" s="347">
        <v>10593</v>
      </c>
      <c r="B188" s="364">
        <f t="shared" si="74"/>
        <v>10.593</v>
      </c>
      <c r="C188" s="337">
        <f t="shared" si="53"/>
        <v>1.0144081112847081</v>
      </c>
      <c r="D188" s="338">
        <f t="shared" si="54"/>
        <v>0.16874369424417024</v>
      </c>
      <c r="E188" s="338">
        <f t="shared" si="55"/>
        <v>1.0000001957146563</v>
      </c>
      <c r="F188" s="339">
        <f t="shared" si="56"/>
        <v>6.2564306806758201E-4</v>
      </c>
      <c r="G188" s="338">
        <f t="shared" si="57"/>
        <v>1</v>
      </c>
      <c r="H188" s="339">
        <f t="shared" si="58"/>
        <v>0</v>
      </c>
      <c r="I188" s="337">
        <f t="shared" si="59"/>
        <v>76676.32585453034</v>
      </c>
      <c r="J188" s="340">
        <f t="shared" si="60"/>
        <v>1.5707832849597685</v>
      </c>
      <c r="K188" s="348">
        <f t="shared" si="81"/>
        <v>2.0252258664910205</v>
      </c>
      <c r="L188" s="349">
        <f t="shared" si="82"/>
        <v>1.0543741212403677</v>
      </c>
      <c r="M188" s="337">
        <f t="shared" si="63"/>
        <v>1.0000541499257412</v>
      </c>
      <c r="N188" s="340">
        <f t="shared" si="64"/>
        <v>1.040648666381098E-2</v>
      </c>
      <c r="O188" s="341">
        <f t="shared" si="65"/>
        <v>1.0000217973712753</v>
      </c>
      <c r="P188" s="342">
        <f t="shared" si="66"/>
        <v>1.572110023682026E-2</v>
      </c>
      <c r="Q188" s="343">
        <f t="shared" si="67"/>
        <v>0.74016680246332078</v>
      </c>
      <c r="R188" s="344">
        <f t="shared" si="68"/>
        <v>-40.717520880151099</v>
      </c>
      <c r="S188" s="346">
        <f t="shared" si="69"/>
        <v>139.28247911984892</v>
      </c>
      <c r="U188" s="319">
        <f t="shared" si="75"/>
        <v>1000000000</v>
      </c>
      <c r="V188" s="319">
        <f t="shared" si="76"/>
        <v>112211649</v>
      </c>
      <c r="X188" s="345">
        <f t="shared" si="70"/>
        <v>6.1429974984743421</v>
      </c>
      <c r="Y188" s="346">
        <f t="shared" si="71"/>
        <v>-30.184313382888167</v>
      </c>
      <c r="AA188" s="345">
        <f t="shared" si="72"/>
        <v>32.815136317335245</v>
      </c>
      <c r="AB188" s="346">
        <f t="shared" si="73"/>
        <v>-10.533207497262932</v>
      </c>
      <c r="AD188">
        <f t="shared" si="77"/>
        <v>0</v>
      </c>
      <c r="AE188">
        <f t="shared" si="80"/>
        <v>0</v>
      </c>
    </row>
    <row r="189" spans="1:31" x14ac:dyDescent="0.2">
      <c r="A189" s="347">
        <v>10654</v>
      </c>
      <c r="B189" s="364">
        <f t="shared" si="74"/>
        <v>10.654</v>
      </c>
      <c r="C189" s="337">
        <f t="shared" si="53"/>
        <v>1.0145733325519539</v>
      </c>
      <c r="D189" s="338">
        <f t="shared" si="54"/>
        <v>0.16969691179527782</v>
      </c>
      <c r="E189" s="338">
        <f t="shared" si="55"/>
        <v>1.0000001979751993</v>
      </c>
      <c r="F189" s="339">
        <f t="shared" si="56"/>
        <v>6.2924584510023281E-4</v>
      </c>
      <c r="G189" s="338">
        <f t="shared" si="57"/>
        <v>1</v>
      </c>
      <c r="H189" s="339">
        <f t="shared" si="58"/>
        <v>0</v>
      </c>
      <c r="I189" s="337">
        <f t="shared" si="59"/>
        <v>77117.867993332678</v>
      </c>
      <c r="J189" s="340">
        <f t="shared" si="60"/>
        <v>1.5707833596314358</v>
      </c>
      <c r="K189" s="348">
        <f t="shared" si="81"/>
        <v>2.0340509373526583</v>
      </c>
      <c r="L189" s="349">
        <f t="shared" si="82"/>
        <v>1.0568359888324206</v>
      </c>
      <c r="M189" s="337">
        <f t="shared" si="63"/>
        <v>1.0000547753510907</v>
      </c>
      <c r="N189" s="340">
        <f t="shared" si="64"/>
        <v>1.0466408259277837E-2</v>
      </c>
      <c r="O189" s="341">
        <f t="shared" si="65"/>
        <v>1.0000220491930136</v>
      </c>
      <c r="P189" s="342">
        <f t="shared" si="66"/>
        <v>1.5811634045070778E-2</v>
      </c>
      <c r="Q189" s="343">
        <f t="shared" si="67"/>
        <v>0.72663738104486886</v>
      </c>
      <c r="R189" s="344">
        <f t="shared" si="68"/>
        <v>-40.639499914044364</v>
      </c>
      <c r="S189" s="346">
        <f t="shared" si="69"/>
        <v>139.36050008595564</v>
      </c>
      <c r="U189" s="319">
        <f t="shared" si="75"/>
        <v>1000000000</v>
      </c>
      <c r="V189" s="319">
        <f t="shared" si="76"/>
        <v>113507716</v>
      </c>
      <c r="X189" s="345">
        <f t="shared" si="70"/>
        <v>6.1308848398597355</v>
      </c>
      <c r="Y189" s="346">
        <f t="shared" si="71"/>
        <v>-30.046696292879577</v>
      </c>
      <c r="AA189" s="345">
        <f t="shared" si="72"/>
        <v>32.813719554531396</v>
      </c>
      <c r="AB189" s="346">
        <f t="shared" si="73"/>
        <v>-10.592803621164794</v>
      </c>
      <c r="AD189">
        <f t="shared" si="77"/>
        <v>0</v>
      </c>
      <c r="AE189">
        <f t="shared" si="80"/>
        <v>0</v>
      </c>
    </row>
    <row r="190" spans="1:31" x14ac:dyDescent="0.2">
      <c r="A190" s="347">
        <v>10715</v>
      </c>
      <c r="B190" s="364">
        <f t="shared" si="74"/>
        <v>10.715</v>
      </c>
      <c r="C190" s="337">
        <f t="shared" si="53"/>
        <v>1.0147394753838876</v>
      </c>
      <c r="D190" s="338">
        <f t="shared" si="54"/>
        <v>0.17064981807223237</v>
      </c>
      <c r="E190" s="338">
        <f t="shared" si="55"/>
        <v>1.0000002002487227</v>
      </c>
      <c r="F190" s="339">
        <f t="shared" si="56"/>
        <v>6.3284862211654847E-4</v>
      </c>
      <c r="G190" s="338">
        <f t="shared" si="57"/>
        <v>1</v>
      </c>
      <c r="H190" s="339">
        <f t="shared" si="58"/>
        <v>0</v>
      </c>
      <c r="I190" s="337">
        <f t="shared" si="59"/>
        <v>77559.410132135439</v>
      </c>
      <c r="J190" s="340">
        <f t="shared" si="60"/>
        <v>1.5707834334528983</v>
      </c>
      <c r="K190" s="348">
        <f t="shared" si="81"/>
        <v>2.0428882296195789</v>
      </c>
      <c r="L190" s="349">
        <f t="shared" si="82"/>
        <v>1.0592765716153172</v>
      </c>
      <c r="M190" s="337">
        <f t="shared" si="63"/>
        <v>1.0000554043672298</v>
      </c>
      <c r="N190" s="340">
        <f t="shared" si="64"/>
        <v>1.0526329779580722E-2</v>
      </c>
      <c r="O190" s="341">
        <f t="shared" si="65"/>
        <v>1.0000223024620392</v>
      </c>
      <c r="P190" s="342">
        <f t="shared" si="66"/>
        <v>1.5902167914318022E-2</v>
      </c>
      <c r="Q190" s="343">
        <f t="shared" si="67"/>
        <v>0.7132734604383919</v>
      </c>
      <c r="R190" s="344">
        <f t="shared" si="68"/>
        <v>-40.562680593452257</v>
      </c>
      <c r="S190" s="346">
        <f t="shared" si="69"/>
        <v>139.43731940654774</v>
      </c>
      <c r="U190" s="319">
        <f t="shared" si="75"/>
        <v>1000000000</v>
      </c>
      <c r="V190" s="319">
        <f t="shared" si="76"/>
        <v>114811225</v>
      </c>
      <c r="X190" s="345">
        <f t="shared" si="70"/>
        <v>6.1189453525119921</v>
      </c>
      <c r="Y190" s="346">
        <f t="shared" si="71"/>
        <v>-29.910298679585061</v>
      </c>
      <c r="AA190" s="345">
        <f t="shared" si="72"/>
        <v>32.812295121272662</v>
      </c>
      <c r="AB190" s="346">
        <f t="shared" si="73"/>
        <v>-10.652381913867188</v>
      </c>
      <c r="AD190">
        <f t="shared" si="77"/>
        <v>0</v>
      </c>
      <c r="AE190">
        <f t="shared" si="80"/>
        <v>0</v>
      </c>
    </row>
    <row r="191" spans="1:31" x14ac:dyDescent="0.2">
      <c r="A191" s="347">
        <v>10777.5</v>
      </c>
      <c r="B191" s="364">
        <f t="shared" si="74"/>
        <v>10.7775</v>
      </c>
      <c r="C191" s="337">
        <f t="shared" si="53"/>
        <v>1.014910659057467</v>
      </c>
      <c r="D191" s="338">
        <f t="shared" si="54"/>
        <v>0.17162583197178338</v>
      </c>
      <c r="E191" s="338">
        <f t="shared" si="55"/>
        <v>1.000000202591615</v>
      </c>
      <c r="F191" s="339">
        <f t="shared" si="56"/>
        <v>6.3653999199327397E-4</v>
      </c>
      <c r="G191" s="338">
        <f t="shared" si="57"/>
        <v>1</v>
      </c>
      <c r="H191" s="339">
        <f t="shared" si="58"/>
        <v>0</v>
      </c>
      <c r="I191" s="337">
        <f t="shared" si="59"/>
        <v>78011.809864515744</v>
      </c>
      <c r="J191" s="340">
        <f t="shared" si="60"/>
        <v>1.5707835082229167</v>
      </c>
      <c r="K191" s="348">
        <f t="shared" si="81"/>
        <v>2.0519553431217838</v>
      </c>
      <c r="L191" s="349">
        <f t="shared" si="82"/>
        <v>1.0617553497618502</v>
      </c>
      <c r="M191" s="337">
        <f t="shared" si="63"/>
        <v>1.0000560525752946</v>
      </c>
      <c r="N191" s="340">
        <f t="shared" si="64"/>
        <v>1.0587724701482098E-2</v>
      </c>
      <c r="O191" s="341">
        <f t="shared" si="65"/>
        <v>1.0000225634601236</v>
      </c>
      <c r="P191" s="342">
        <f t="shared" si="66"/>
        <v>1.599492808988159E-2</v>
      </c>
      <c r="Q191" s="343">
        <f t="shared" si="67"/>
        <v>0.69974927488429495</v>
      </c>
      <c r="R191" s="344">
        <f t="shared" si="68"/>
        <v>-40.485203764975594</v>
      </c>
      <c r="S191" s="346">
        <f t="shared" si="69"/>
        <v>139.51479623502439</v>
      </c>
      <c r="U191" s="319">
        <f t="shared" si="75"/>
        <v>1000000000</v>
      </c>
      <c r="V191" s="319">
        <f t="shared" si="76"/>
        <v>116154506.25</v>
      </c>
      <c r="X191" s="345">
        <f t="shared" si="70"/>
        <v>6.106888574941566</v>
      </c>
      <c r="Y191" s="346">
        <f t="shared" si="71"/>
        <v>-29.771797107196164</v>
      </c>
      <c r="AA191" s="345">
        <f t="shared" si="72"/>
        <v>32.810827713288987</v>
      </c>
      <c r="AB191" s="346">
        <f t="shared" si="73"/>
        <v>-10.713406657779423</v>
      </c>
      <c r="AD191">
        <f t="shared" si="77"/>
        <v>0</v>
      </c>
      <c r="AE191">
        <f t="shared" si="80"/>
        <v>0</v>
      </c>
    </row>
    <row r="192" spans="1:31" x14ac:dyDescent="0.2">
      <c r="A192" s="347">
        <v>10840</v>
      </c>
      <c r="B192" s="364">
        <f t="shared" si="74"/>
        <v>10.84</v>
      </c>
      <c r="C192" s="337">
        <f t="shared" si="53"/>
        <v>1.015082809211497</v>
      </c>
      <c r="D192" s="338">
        <f t="shared" si="54"/>
        <v>0.17260151575177049</v>
      </c>
      <c r="E192" s="338">
        <f t="shared" si="55"/>
        <v>1.0000002049481334</v>
      </c>
      <c r="F192" s="339">
        <f t="shared" si="56"/>
        <v>6.4023136185265234E-4</v>
      </c>
      <c r="G192" s="338">
        <f t="shared" si="57"/>
        <v>1</v>
      </c>
      <c r="H192" s="339">
        <f t="shared" si="58"/>
        <v>0</v>
      </c>
      <c r="I192" s="337">
        <f t="shared" si="59"/>
        <v>78464.209596896471</v>
      </c>
      <c r="J192" s="340">
        <f t="shared" si="60"/>
        <v>1.570783582130735</v>
      </c>
      <c r="K192" s="348">
        <f t="shared" si="81"/>
        <v>2.0610349535605614</v>
      </c>
      <c r="L192" s="349">
        <f t="shared" si="82"/>
        <v>1.0642123030511321</v>
      </c>
      <c r="M192" s="337">
        <f t="shared" si="63"/>
        <v>1.0000567045529023</v>
      </c>
      <c r="N192" s="340">
        <f t="shared" si="64"/>
        <v>1.0649119543563203E-2</v>
      </c>
      <c r="O192" s="341">
        <f t="shared" si="65"/>
        <v>1.0000228259775972</v>
      </c>
      <c r="P192" s="342">
        <f t="shared" si="66"/>
        <v>1.6087688330220187E-2</v>
      </c>
      <c r="Q192" s="343">
        <f t="shared" si="67"/>
        <v>0.68639219842215482</v>
      </c>
      <c r="R192" s="344">
        <f t="shared" si="68"/>
        <v>-40.40895844399008</v>
      </c>
      <c r="S192" s="346">
        <f t="shared" si="69"/>
        <v>139.59104155600991</v>
      </c>
      <c r="U192" s="319">
        <f t="shared" si="75"/>
        <v>1000000000</v>
      </c>
      <c r="V192" s="319">
        <f t="shared" si="76"/>
        <v>117505600</v>
      </c>
      <c r="X192" s="345">
        <f t="shared" si="70"/>
        <v>6.0950069424465712</v>
      </c>
      <c r="Y192" s="346">
        <f t="shared" si="71"/>
        <v>-29.634545953043872</v>
      </c>
      <c r="AA192" s="345">
        <f t="shared" si="72"/>
        <v>32.809352269321849</v>
      </c>
      <c r="AB192" s="346">
        <f t="shared" si="73"/>
        <v>-10.774412490946222</v>
      </c>
      <c r="AD192">
        <f t="shared" si="77"/>
        <v>0</v>
      </c>
      <c r="AE192">
        <f t="shared" si="80"/>
        <v>0</v>
      </c>
    </row>
    <row r="193" spans="1:31" x14ac:dyDescent="0.2">
      <c r="A193" s="347">
        <v>10902.5</v>
      </c>
      <c r="B193" s="364">
        <f t="shared" si="74"/>
        <v>10.9025</v>
      </c>
      <c r="C193" s="337">
        <f t="shared" si="53"/>
        <v>1.0152559253543385</v>
      </c>
      <c r="D193" s="338">
        <f t="shared" si="54"/>
        <v>0.17357686772297518</v>
      </c>
      <c r="E193" s="338">
        <f t="shared" si="55"/>
        <v>1.0000002073182781</v>
      </c>
      <c r="F193" s="339">
        <f t="shared" si="56"/>
        <v>6.4392273169458275E-4</v>
      </c>
      <c r="G193" s="338">
        <f t="shared" si="57"/>
        <v>1</v>
      </c>
      <c r="H193" s="339">
        <f t="shared" si="58"/>
        <v>0</v>
      </c>
      <c r="I193" s="337">
        <f t="shared" si="59"/>
        <v>78916.609329277635</v>
      </c>
      <c r="J193" s="340">
        <f t="shared" si="60"/>
        <v>1.5707836551911807</v>
      </c>
      <c r="K193" s="348">
        <f t="shared" si="81"/>
        <v>2.0701268965006139</v>
      </c>
      <c r="L193" s="349">
        <f t="shared" si="82"/>
        <v>1.0666476891859655</v>
      </c>
      <c r="M193" s="337">
        <f t="shared" si="63"/>
        <v>1.0000573603000451</v>
      </c>
      <c r="N193" s="340">
        <f t="shared" si="64"/>
        <v>1.071051430536136E-2</v>
      </c>
      <c r="O193" s="341">
        <f t="shared" si="65"/>
        <v>1.0000230900144844</v>
      </c>
      <c r="P193" s="342">
        <f t="shared" si="66"/>
        <v>1.6180448635709117E-2</v>
      </c>
      <c r="Q193" s="343">
        <f t="shared" si="67"/>
        <v>0.67319898664733624</v>
      </c>
      <c r="R193" s="344">
        <f t="shared" si="68"/>
        <v>-40.33392976927226</v>
      </c>
      <c r="S193" s="346">
        <f t="shared" si="69"/>
        <v>139.66607023072774</v>
      </c>
      <c r="U193" s="319">
        <f t="shared" si="75"/>
        <v>1000000000</v>
      </c>
      <c r="V193" s="319">
        <f t="shared" si="76"/>
        <v>118864506.25</v>
      </c>
      <c r="X193" s="345">
        <f t="shared" si="70"/>
        <v>6.0832972022928811</v>
      </c>
      <c r="Y193" s="346">
        <f t="shared" si="71"/>
        <v>-29.498530452668255</v>
      </c>
      <c r="AA193" s="345">
        <f t="shared" si="72"/>
        <v>32.807868797700721</v>
      </c>
      <c r="AB193" s="346">
        <f t="shared" si="73"/>
        <v>-10.835399316603997</v>
      </c>
      <c r="AD193">
        <f t="shared" si="77"/>
        <v>0</v>
      </c>
      <c r="AE193">
        <f t="shared" si="80"/>
        <v>0</v>
      </c>
    </row>
    <row r="194" spans="1:31" x14ac:dyDescent="0.2">
      <c r="A194" s="347">
        <v>10965</v>
      </c>
      <c r="B194" s="364">
        <f t="shared" si="74"/>
        <v>10.965</v>
      </c>
      <c r="C194" s="337">
        <f t="shared" si="53"/>
        <v>1.0154300069919306</v>
      </c>
      <c r="D194" s="338">
        <f t="shared" si="54"/>
        <v>0.17455188619985276</v>
      </c>
      <c r="E194" s="338">
        <f t="shared" si="55"/>
        <v>1.0000002097020488</v>
      </c>
      <c r="F194" s="339">
        <f t="shared" si="56"/>
        <v>6.476141015189647E-4</v>
      </c>
      <c r="G194" s="338">
        <f t="shared" si="57"/>
        <v>1</v>
      </c>
      <c r="H194" s="339">
        <f t="shared" si="58"/>
        <v>0</v>
      </c>
      <c r="I194" s="337">
        <f t="shared" si="59"/>
        <v>79369.009061659206</v>
      </c>
      <c r="J194" s="340">
        <f t="shared" si="60"/>
        <v>1.5707837274187439</v>
      </c>
      <c r="K194" s="348">
        <f t="shared" si="81"/>
        <v>2.0792310101613691</v>
      </c>
      <c r="L194" s="349">
        <f t="shared" si="82"/>
        <v>1.0690617623881802</v>
      </c>
      <c r="M194" s="337">
        <f t="shared" si="63"/>
        <v>1.0000580198167162</v>
      </c>
      <c r="N194" s="340">
        <f t="shared" si="64"/>
        <v>1.0771908986413892E-2</v>
      </c>
      <c r="O194" s="341">
        <f t="shared" si="65"/>
        <v>1.0000233555708107</v>
      </c>
      <c r="P194" s="342">
        <f t="shared" si="66"/>
        <v>1.6273209006723657E-2</v>
      </c>
      <c r="Q194" s="343">
        <f t="shared" si="67"/>
        <v>0.66016646760821207</v>
      </c>
      <c r="R194" s="344">
        <f t="shared" si="68"/>
        <v>-40.260103079234767</v>
      </c>
      <c r="S194" s="346">
        <f t="shared" si="69"/>
        <v>139.73989692076523</v>
      </c>
      <c r="U194" s="319">
        <f t="shared" si="75"/>
        <v>1000000000</v>
      </c>
      <c r="V194" s="319">
        <f t="shared" si="76"/>
        <v>120231225</v>
      </c>
      <c r="X194" s="345">
        <f t="shared" si="70"/>
        <v>6.071756174160754</v>
      </c>
      <c r="Y194" s="346">
        <f t="shared" si="71"/>
        <v>-29.363736041035093</v>
      </c>
      <c r="AA194" s="345">
        <f t="shared" si="72"/>
        <v>32.806377306793721</v>
      </c>
      <c r="AB194" s="346">
        <f t="shared" si="73"/>
        <v>-10.896367038199665</v>
      </c>
      <c r="AD194">
        <f t="shared" si="77"/>
        <v>0</v>
      </c>
      <c r="AE194">
        <f t="shared" si="80"/>
        <v>0</v>
      </c>
    </row>
    <row r="195" spans="1:31" x14ac:dyDescent="0.2">
      <c r="A195" s="347">
        <v>11028.75</v>
      </c>
      <c r="B195" s="364">
        <f t="shared" si="74"/>
        <v>11.02875</v>
      </c>
      <c r="C195" s="337">
        <f t="shared" si="53"/>
        <v>1.0156085644000732</v>
      </c>
      <c r="D195" s="338">
        <f t="shared" si="54"/>
        <v>0.17554605973623244</v>
      </c>
      <c r="E195" s="338">
        <f t="shared" si="55"/>
        <v>1.0000002121475329</v>
      </c>
      <c r="F195" s="339">
        <f t="shared" si="56"/>
        <v>6.5137929872165158E-4</v>
      </c>
      <c r="G195" s="338">
        <f t="shared" si="57"/>
        <v>1</v>
      </c>
      <c r="H195" s="339">
        <f t="shared" si="58"/>
        <v>0</v>
      </c>
      <c r="I195" s="337">
        <f t="shared" si="59"/>
        <v>79830.45678868884</v>
      </c>
      <c r="J195" s="340">
        <f t="shared" si="60"/>
        <v>1.5707838002475079</v>
      </c>
      <c r="K195" s="348">
        <f t="shared" si="81"/>
        <v>2.088529579310717</v>
      </c>
      <c r="L195" s="349">
        <f t="shared" si="82"/>
        <v>1.0715024205351795</v>
      </c>
      <c r="M195" s="337">
        <f t="shared" si="63"/>
        <v>1.0000586964070808</v>
      </c>
      <c r="N195" s="340">
        <f t="shared" si="64"/>
        <v>1.083453147742351E-2</v>
      </c>
      <c r="O195" s="341">
        <f t="shared" si="65"/>
        <v>1.000023628003615</v>
      </c>
      <c r="P195" s="342">
        <f t="shared" si="66"/>
        <v>1.6367824653052167E-2</v>
      </c>
      <c r="Q195" s="343">
        <f t="shared" si="67"/>
        <v>0.64703562788507751</v>
      </c>
      <c r="R195" s="344">
        <f t="shared" si="68"/>
        <v>-40.18602314035099</v>
      </c>
      <c r="S195" s="346">
        <f t="shared" si="69"/>
        <v>139.81397685964902</v>
      </c>
      <c r="U195" s="319">
        <f t="shared" si="75"/>
        <v>1000000000</v>
      </c>
      <c r="V195" s="319">
        <f t="shared" si="76"/>
        <v>121633326.5625</v>
      </c>
      <c r="X195" s="345">
        <f t="shared" si="70"/>
        <v>6.0601549079126338</v>
      </c>
      <c r="Y195" s="346">
        <f t="shared" si="71"/>
        <v>-29.227488807040373</v>
      </c>
      <c r="AA195" s="345">
        <f t="shared" si="72"/>
        <v>32.804847733318702</v>
      </c>
      <c r="AB195" s="346">
        <f t="shared" si="73"/>
        <v>-10.958534333310633</v>
      </c>
      <c r="AD195">
        <f t="shared" si="77"/>
        <v>0</v>
      </c>
      <c r="AE195">
        <f t="shared" si="80"/>
        <v>0</v>
      </c>
    </row>
    <row r="196" spans="1:31" x14ac:dyDescent="0.2">
      <c r="A196" s="347">
        <v>11092.5</v>
      </c>
      <c r="B196" s="364">
        <f t="shared" si="74"/>
        <v>11.092499999999999</v>
      </c>
      <c r="C196" s="337">
        <f t="shared" si="53"/>
        <v>1.0157881252629632</v>
      </c>
      <c r="D196" s="338">
        <f t="shared" si="54"/>
        <v>0.17653988277449512</v>
      </c>
      <c r="E196" s="338">
        <f t="shared" si="55"/>
        <v>1.0000002146071936</v>
      </c>
      <c r="F196" s="339">
        <f t="shared" si="56"/>
        <v>6.5514449590586962E-4</v>
      </c>
      <c r="G196" s="338">
        <f t="shared" si="57"/>
        <v>1</v>
      </c>
      <c r="H196" s="339">
        <f t="shared" si="58"/>
        <v>0</v>
      </c>
      <c r="I196" s="337">
        <f t="shared" si="59"/>
        <v>80291.904515718881</v>
      </c>
      <c r="J196" s="340">
        <f t="shared" si="60"/>
        <v>1.5707838722391596</v>
      </c>
      <c r="K196" s="348">
        <f t="shared" si="81"/>
        <v>2.097840479107532</v>
      </c>
      <c r="L196" s="349">
        <f t="shared" si="82"/>
        <v>1.0739214281127307</v>
      </c>
      <c r="M196" s="337">
        <f t="shared" si="63"/>
        <v>1.0000593769192465</v>
      </c>
      <c r="N196" s="340">
        <f t="shared" si="64"/>
        <v>1.0897153883453036E-2</v>
      </c>
      <c r="O196" s="341">
        <f t="shared" si="65"/>
        <v>1.0000239020172967</v>
      </c>
      <c r="P196" s="342">
        <f t="shared" si="66"/>
        <v>1.6462440368342206E-2</v>
      </c>
      <c r="Q196" s="343">
        <f t="shared" si="67"/>
        <v>0.6340655290000069</v>
      </c>
      <c r="R196" s="344">
        <f t="shared" si="68"/>
        <v>-40.113163556779512</v>
      </c>
      <c r="S196" s="346">
        <f t="shared" si="69"/>
        <v>139.88683644322049</v>
      </c>
      <c r="U196" s="319">
        <f t="shared" si="75"/>
        <v>1000000000</v>
      </c>
      <c r="V196" s="319">
        <f t="shared" si="76"/>
        <v>123043556.25</v>
      </c>
      <c r="X196" s="345">
        <f t="shared" si="70"/>
        <v>6.0487227080590102</v>
      </c>
      <c r="Y196" s="346">
        <f t="shared" si="71"/>
        <v>-29.092482006468511</v>
      </c>
      <c r="AA196" s="345">
        <f t="shared" si="72"/>
        <v>32.803309834287255</v>
      </c>
      <c r="AB196" s="346">
        <f t="shared" si="73"/>
        <v>-11.020681550311005</v>
      </c>
      <c r="AD196">
        <f t="shared" si="77"/>
        <v>0</v>
      </c>
      <c r="AE196">
        <f t="shared" si="80"/>
        <v>0</v>
      </c>
    </row>
    <row r="197" spans="1:31" x14ac:dyDescent="0.2">
      <c r="A197" s="347">
        <v>11156.25</v>
      </c>
      <c r="B197" s="364">
        <f t="shared" si="74"/>
        <v>11.15625</v>
      </c>
      <c r="C197" s="337">
        <f t="shared" si="53"/>
        <v>1.0159686890485535</v>
      </c>
      <c r="D197" s="338">
        <f t="shared" si="54"/>
        <v>0.17753335353783642</v>
      </c>
      <c r="E197" s="338">
        <f t="shared" si="55"/>
        <v>1.0000002170810312</v>
      </c>
      <c r="F197" s="339">
        <f t="shared" si="56"/>
        <v>6.5890969307151202E-4</v>
      </c>
      <c r="G197" s="338">
        <f t="shared" si="57"/>
        <v>1</v>
      </c>
      <c r="H197" s="339">
        <f t="shared" si="58"/>
        <v>0</v>
      </c>
      <c r="I197" s="337">
        <f t="shared" si="59"/>
        <v>80753.352242749344</v>
      </c>
      <c r="J197" s="340">
        <f t="shared" si="60"/>
        <v>1.5707839434080495</v>
      </c>
      <c r="K197" s="348">
        <f t="shared" si="81"/>
        <v>2.1071635460959408</v>
      </c>
      <c r="L197" s="349">
        <f t="shared" si="82"/>
        <v>1.0763190439982628</v>
      </c>
      <c r="M197" s="337">
        <f t="shared" si="63"/>
        <v>1.0000600613532054</v>
      </c>
      <c r="N197" s="340">
        <f t="shared" si="64"/>
        <v>1.0959776204011484E-2</v>
      </c>
      <c r="O197" s="341">
        <f t="shared" si="65"/>
        <v>1.0000241776118826</v>
      </c>
      <c r="P197" s="342">
        <f t="shared" si="66"/>
        <v>1.6557056152992009E-2</v>
      </c>
      <c r="Q197" s="343">
        <f t="shared" si="67"/>
        <v>0.62125302600558996</v>
      </c>
      <c r="R197" s="344">
        <f t="shared" si="68"/>
        <v>-40.041509394949685</v>
      </c>
      <c r="S197" s="346">
        <f t="shared" si="69"/>
        <v>139.95849060505032</v>
      </c>
      <c r="U197" s="319">
        <f t="shared" si="75"/>
        <v>1000000000</v>
      </c>
      <c r="V197" s="319">
        <f t="shared" si="76"/>
        <v>124461914.0625</v>
      </c>
      <c r="X197" s="345">
        <f t="shared" si="70"/>
        <v>6.0374564206489083</v>
      </c>
      <c r="Y197" s="346">
        <f t="shared" si="71"/>
        <v>-28.958700807529471</v>
      </c>
      <c r="AA197" s="345">
        <f t="shared" si="72"/>
        <v>32.801763618702942</v>
      </c>
      <c r="AB197" s="346">
        <f t="shared" si="73"/>
        <v>-11.082808587420217</v>
      </c>
      <c r="AD197">
        <f t="shared" si="77"/>
        <v>0</v>
      </c>
      <c r="AE197">
        <f t="shared" si="80"/>
        <v>0</v>
      </c>
    </row>
    <row r="198" spans="1:31" x14ac:dyDescent="0.2">
      <c r="A198" s="347">
        <v>11220</v>
      </c>
      <c r="B198" s="364">
        <f t="shared" si="74"/>
        <v>11.22</v>
      </c>
      <c r="C198" s="337">
        <f t="shared" si="53"/>
        <v>1.0161502552222035</v>
      </c>
      <c r="D198" s="338">
        <f t="shared" si="54"/>
        <v>0.17852647025349283</v>
      </c>
      <c r="E198" s="338">
        <f t="shared" si="55"/>
        <v>1.0000002195690452</v>
      </c>
      <c r="F198" s="339">
        <f t="shared" si="56"/>
        <v>6.626748902184721E-4</v>
      </c>
      <c r="G198" s="338">
        <f t="shared" si="57"/>
        <v>1</v>
      </c>
      <c r="H198" s="339">
        <f t="shared" si="58"/>
        <v>0</v>
      </c>
      <c r="I198" s="337">
        <f t="shared" si="59"/>
        <v>81214.799969780201</v>
      </c>
      <c r="J198" s="340">
        <f t="shared" si="60"/>
        <v>1.5707840137682021</v>
      </c>
      <c r="K198" s="348">
        <f t="shared" si="81"/>
        <v>2.1164986194884006</v>
      </c>
      <c r="L198" s="349">
        <f t="shared" si="82"/>
        <v>1.0786955234946896</v>
      </c>
      <c r="M198" s="337">
        <f t="shared" si="63"/>
        <v>1.0000607497089495</v>
      </c>
      <c r="N198" s="340">
        <f t="shared" si="64"/>
        <v>1.1022398438607877E-2</v>
      </c>
      <c r="O198" s="341">
        <f t="shared" si="65"/>
        <v>1.0000244547873995</v>
      </c>
      <c r="P198" s="342">
        <f t="shared" si="66"/>
        <v>1.6651672007399799E-2</v>
      </c>
      <c r="Q198" s="343">
        <f t="shared" si="67"/>
        <v>0.60859504460198555</v>
      </c>
      <c r="R198" s="344">
        <f t="shared" si="68"/>
        <v>-39.97104592630842</v>
      </c>
      <c r="S198" s="346">
        <f t="shared" si="69"/>
        <v>140.02895407369158</v>
      </c>
      <c r="U198" s="319">
        <f t="shared" si="75"/>
        <v>1000000000</v>
      </c>
      <c r="V198" s="319">
        <f t="shared" si="76"/>
        <v>125888400</v>
      </c>
      <c r="X198" s="345">
        <f t="shared" si="70"/>
        <v>6.0263529623377838</v>
      </c>
      <c r="Y198" s="346">
        <f t="shared" si="71"/>
        <v>-28.826130583219207</v>
      </c>
      <c r="AA198" s="345">
        <f t="shared" si="72"/>
        <v>32.800209095610462</v>
      </c>
      <c r="AB198" s="346">
        <f t="shared" si="73"/>
        <v>-11.144915343089227</v>
      </c>
      <c r="AD198">
        <f t="shared" si="77"/>
        <v>0</v>
      </c>
      <c r="AE198">
        <f t="shared" si="80"/>
        <v>0</v>
      </c>
    </row>
    <row r="199" spans="1:31" x14ac:dyDescent="0.2">
      <c r="A199" s="347">
        <v>11285.5</v>
      </c>
      <c r="B199" s="364">
        <f t="shared" si="74"/>
        <v>11.285500000000001</v>
      </c>
      <c r="C199" s="337">
        <f t="shared" si="53"/>
        <v>1.0163378490411799</v>
      </c>
      <c r="D199" s="338">
        <f t="shared" si="54"/>
        <v>0.17954647837809193</v>
      </c>
      <c r="E199" s="338">
        <f t="shared" si="55"/>
        <v>1.0000002221401236</v>
      </c>
      <c r="F199" s="339">
        <f t="shared" si="56"/>
        <v>6.6654344569891518E-4</v>
      </c>
      <c r="G199" s="338">
        <f t="shared" si="57"/>
        <v>1</v>
      </c>
      <c r="H199" s="339">
        <f t="shared" si="58"/>
        <v>0</v>
      </c>
      <c r="I199" s="337">
        <f t="shared" si="59"/>
        <v>81688.914889318214</v>
      </c>
      <c r="J199" s="340">
        <f t="shared" si="60"/>
        <v>1.570784085231872</v>
      </c>
      <c r="K199" s="348">
        <f t="shared" si="81"/>
        <v>2.1261022888768344</v>
      </c>
      <c r="L199" s="349">
        <f t="shared" si="82"/>
        <v>1.0811154896214694</v>
      </c>
      <c r="M199" s="337">
        <f t="shared" si="63"/>
        <v>1.0000614610454734</v>
      </c>
      <c r="N199" s="340">
        <f t="shared" si="64"/>
        <v>1.1086739624888176E-2</v>
      </c>
      <c r="O199" s="341">
        <f t="shared" si="65"/>
        <v>1.0000247412183092</v>
      </c>
      <c r="P199" s="342">
        <f t="shared" si="66"/>
        <v>1.6748885232846959E-2</v>
      </c>
      <c r="Q199" s="343">
        <f t="shared" si="67"/>
        <v>0.59574737314303527</v>
      </c>
      <c r="R199" s="344">
        <f t="shared" si="68"/>
        <v>-39.899873069825119</v>
      </c>
      <c r="S199" s="346">
        <f t="shared" si="69"/>
        <v>140.10012693017489</v>
      </c>
      <c r="U199" s="319">
        <f t="shared" si="75"/>
        <v>1000000000</v>
      </c>
      <c r="V199" s="319">
        <f t="shared" si="76"/>
        <v>127362510.25</v>
      </c>
      <c r="X199" s="345">
        <f t="shared" si="70"/>
        <v>6.0151111303162477</v>
      </c>
      <c r="Y199" s="346">
        <f t="shared" si="71"/>
        <v>-28.691167310425275</v>
      </c>
      <c r="AA199" s="345">
        <f t="shared" si="72"/>
        <v>32.798603256173053</v>
      </c>
      <c r="AB199" s="346">
        <f t="shared" si="73"/>
        <v>-11.208705759399836</v>
      </c>
      <c r="AD199">
        <f t="shared" si="77"/>
        <v>0</v>
      </c>
      <c r="AE199">
        <f t="shared" si="80"/>
        <v>0</v>
      </c>
    </row>
    <row r="200" spans="1:31" x14ac:dyDescent="0.2">
      <c r="A200" s="347">
        <v>11351</v>
      </c>
      <c r="B200" s="364">
        <f t="shared" si="74"/>
        <v>11.351000000000001</v>
      </c>
      <c r="C200" s="337">
        <f t="shared" si="53"/>
        <v>1.0165264998839787</v>
      </c>
      <c r="D200" s="338">
        <f t="shared" si="54"/>
        <v>0.18056610896925251</v>
      </c>
      <c r="E200" s="338">
        <f t="shared" si="55"/>
        <v>1.0000002247261677</v>
      </c>
      <c r="F200" s="339">
        <f t="shared" si="56"/>
        <v>6.7041200115940764E-4</v>
      </c>
      <c r="G200" s="338">
        <f t="shared" si="57"/>
        <v>1</v>
      </c>
      <c r="H200" s="339">
        <f t="shared" si="58"/>
        <v>0</v>
      </c>
      <c r="I200" s="337">
        <f t="shared" si="59"/>
        <v>82163.029808856634</v>
      </c>
      <c r="J200" s="340">
        <f t="shared" si="60"/>
        <v>1.5707841558707918</v>
      </c>
      <c r="K200" s="348">
        <f t="shared" si="81"/>
        <v>2.1357182972035766</v>
      </c>
      <c r="L200" s="349">
        <f t="shared" si="82"/>
        <v>1.0835136780359589</v>
      </c>
      <c r="M200" s="337">
        <f t="shared" si="63"/>
        <v>1.0000621765220339</v>
      </c>
      <c r="N200" s="340">
        <f t="shared" si="64"/>
        <v>1.1151080719371336E-2</v>
      </c>
      <c r="O200" s="341">
        <f t="shared" si="65"/>
        <v>1.0000250293181963</v>
      </c>
      <c r="P200" s="342">
        <f t="shared" si="66"/>
        <v>1.6846098532786822E-2</v>
      </c>
      <c r="Q200" s="343">
        <f t="shared" si="67"/>
        <v>0.58305646469308303</v>
      </c>
      <c r="R200" s="344">
        <f t="shared" si="68"/>
        <v>-39.829926305027207</v>
      </c>
      <c r="S200" s="346">
        <f t="shared" si="69"/>
        <v>140.17007369497279</v>
      </c>
      <c r="U200" s="319">
        <f t="shared" si="75"/>
        <v>1000000000</v>
      </c>
      <c r="V200" s="319">
        <f t="shared" si="76"/>
        <v>128845201</v>
      </c>
      <c r="X200" s="345">
        <f t="shared" si="70"/>
        <v>6.0040348116794595</v>
      </c>
      <c r="Y200" s="346">
        <f t="shared" si="71"/>
        <v>-28.55745175612018</v>
      </c>
      <c r="AA200" s="345">
        <f t="shared" si="72"/>
        <v>32.796988666359887</v>
      </c>
      <c r="AB200" s="346">
        <f t="shared" si="73"/>
        <v>-11.272474548907027</v>
      </c>
      <c r="AD200">
        <f t="shared" si="77"/>
        <v>0</v>
      </c>
      <c r="AE200">
        <f t="shared" si="80"/>
        <v>0</v>
      </c>
    </row>
    <row r="201" spans="1:31" x14ac:dyDescent="0.2">
      <c r="A201" s="347">
        <v>11416.5</v>
      </c>
      <c r="B201" s="364">
        <f t="shared" si="74"/>
        <v>11.416499999999999</v>
      </c>
      <c r="C201" s="337">
        <f t="shared" si="53"/>
        <v>1.0167162071622105</v>
      </c>
      <c r="D201" s="338">
        <f t="shared" si="54"/>
        <v>0.18158536011760937</v>
      </c>
      <c r="E201" s="338">
        <f t="shared" si="55"/>
        <v>1.0000002273271775</v>
      </c>
      <c r="F201" s="339">
        <f t="shared" si="56"/>
        <v>6.7428055659983358E-4</v>
      </c>
      <c r="G201" s="338">
        <f t="shared" si="57"/>
        <v>1</v>
      </c>
      <c r="H201" s="339">
        <f t="shared" si="58"/>
        <v>0</v>
      </c>
      <c r="I201" s="337">
        <f t="shared" si="59"/>
        <v>82637.144728395448</v>
      </c>
      <c r="J201" s="340">
        <f t="shared" si="60"/>
        <v>1.5707842256991569</v>
      </c>
      <c r="K201" s="348">
        <f t="shared" si="81"/>
        <v>2.1453464785495129</v>
      </c>
      <c r="L201" s="349">
        <f t="shared" si="82"/>
        <v>1.0858903541770368</v>
      </c>
      <c r="M201" s="337">
        <f t="shared" si="63"/>
        <v>1.0000628961386224</v>
      </c>
      <c r="N201" s="340">
        <f t="shared" si="64"/>
        <v>1.121542172152484E-2</v>
      </c>
      <c r="O201" s="341">
        <f t="shared" si="65"/>
        <v>1.0000253190870905</v>
      </c>
      <c r="P201" s="342">
        <f t="shared" si="66"/>
        <v>1.6943311907651314E-2</v>
      </c>
      <c r="Q201" s="343">
        <f t="shared" si="67"/>
        <v>0.57051920586736671</v>
      </c>
      <c r="R201" s="344">
        <f t="shared" si="68"/>
        <v>-39.761190314796238</v>
      </c>
      <c r="S201" s="346">
        <f t="shared" si="69"/>
        <v>140.23880968520376</v>
      </c>
      <c r="U201" s="319">
        <f t="shared" si="75"/>
        <v>1000000000</v>
      </c>
      <c r="V201" s="319">
        <f t="shared" si="76"/>
        <v>130336472.25</v>
      </c>
      <c r="X201" s="345">
        <f t="shared" si="70"/>
        <v>5.9931208830978395</v>
      </c>
      <c r="Y201" s="346">
        <f t="shared" si="71"/>
        <v>-28.424968712559235</v>
      </c>
      <c r="AA201" s="345">
        <f t="shared" si="72"/>
        <v>32.795365336115793</v>
      </c>
      <c r="AB201" s="346">
        <f t="shared" si="73"/>
        <v>-11.336221602236989</v>
      </c>
      <c r="AD201">
        <f t="shared" si="77"/>
        <v>0</v>
      </c>
      <c r="AE201">
        <f t="shared" si="80"/>
        <v>0</v>
      </c>
    </row>
    <row r="202" spans="1:31" x14ac:dyDescent="0.2">
      <c r="A202" s="347">
        <v>11482</v>
      </c>
      <c r="B202" s="364">
        <f t="shared" si="74"/>
        <v>11.481999999999999</v>
      </c>
      <c r="C202" s="337">
        <f t="shared" si="53"/>
        <v>1.0169069702846307</v>
      </c>
      <c r="D202" s="338">
        <f t="shared" si="54"/>
        <v>0.18260422991837164</v>
      </c>
      <c r="E202" s="338">
        <f t="shared" si="55"/>
        <v>1.0000002299431532</v>
      </c>
      <c r="F202" s="339">
        <f t="shared" si="56"/>
        <v>6.7814911202007742E-4</v>
      </c>
      <c r="G202" s="338">
        <f t="shared" si="57"/>
        <v>1</v>
      </c>
      <c r="H202" s="339">
        <f t="shared" si="58"/>
        <v>0</v>
      </c>
      <c r="I202" s="337">
        <f t="shared" si="59"/>
        <v>83111.259647934668</v>
      </c>
      <c r="J202" s="340">
        <f t="shared" si="60"/>
        <v>1.5707842947308386</v>
      </c>
      <c r="K202" s="348">
        <f t="shared" si="81"/>
        <v>2.1549866697525686</v>
      </c>
      <c r="L202" s="349">
        <f t="shared" si="82"/>
        <v>1.0882457797150229</v>
      </c>
      <c r="M202" s="337">
        <f t="shared" si="63"/>
        <v>1.00006361989523</v>
      </c>
      <c r="N202" s="340">
        <f t="shared" si="64"/>
        <v>1.1279762630816174E-2</v>
      </c>
      <c r="O202" s="341">
        <f t="shared" si="65"/>
        <v>1.0000256105250225</v>
      </c>
      <c r="P202" s="342">
        <f t="shared" si="66"/>
        <v>1.7040525357872326E-2</v>
      </c>
      <c r="Q202" s="343">
        <f t="shared" si="67"/>
        <v>0.5581325541284784</v>
      </c>
      <c r="R202" s="344">
        <f t="shared" si="68"/>
        <v>-39.693649998179744</v>
      </c>
      <c r="S202" s="346">
        <f t="shared" si="69"/>
        <v>140.30635000182025</v>
      </c>
      <c r="U202" s="319">
        <f t="shared" si="75"/>
        <v>1000000000</v>
      </c>
      <c r="V202" s="319">
        <f t="shared" si="76"/>
        <v>131836324</v>
      </c>
      <c r="X202" s="345">
        <f t="shared" si="70"/>
        <v>5.9823662920440812</v>
      </c>
      <c r="Y202" s="346">
        <f t="shared" si="71"/>
        <v>-28.293703187901752</v>
      </c>
      <c r="AA202" s="345">
        <f t="shared" si="72"/>
        <v>32.793733275430661</v>
      </c>
      <c r="AB202" s="346">
        <f t="shared" si="73"/>
        <v>-11.399946810277996</v>
      </c>
      <c r="AD202">
        <f t="shared" si="77"/>
        <v>0</v>
      </c>
      <c r="AE202">
        <f t="shared" si="80"/>
        <v>0</v>
      </c>
    </row>
    <row r="203" spans="1:31" x14ac:dyDescent="0.2">
      <c r="A203" s="347">
        <v>11548.75</v>
      </c>
      <c r="B203" s="364">
        <f t="shared" si="74"/>
        <v>11.54875</v>
      </c>
      <c r="C203" s="337">
        <f t="shared" si="53"/>
        <v>1.0171024595705518</v>
      </c>
      <c r="D203" s="338">
        <f t="shared" si="54"/>
        <v>0.18364214949847182</v>
      </c>
      <c r="E203" s="338">
        <f t="shared" si="55"/>
        <v>1.0000002326244488</v>
      </c>
      <c r="F203" s="339">
        <f t="shared" si="56"/>
        <v>6.8209149481295386E-4</v>
      </c>
      <c r="G203" s="338">
        <f t="shared" si="57"/>
        <v>1</v>
      </c>
      <c r="H203" s="339">
        <f t="shared" si="58"/>
        <v>0</v>
      </c>
      <c r="I203" s="337">
        <f t="shared" si="59"/>
        <v>83594.422562121996</v>
      </c>
      <c r="J203" s="340">
        <f t="shared" si="60"/>
        <v>1.5707843642743196</v>
      </c>
      <c r="K203" s="348">
        <f t="shared" si="81"/>
        <v>2.1648230237912434</v>
      </c>
      <c r="L203" s="349">
        <f t="shared" si="82"/>
        <v>1.0906245603868479</v>
      </c>
      <c r="M203" s="337">
        <f t="shared" si="63"/>
        <v>1.0000643617232619</v>
      </c>
      <c r="N203" s="340">
        <f t="shared" si="64"/>
        <v>1.1345331323967131E-2</v>
      </c>
      <c r="O203" s="341">
        <f t="shared" si="65"/>
        <v>1.0000259092418975</v>
      </c>
      <c r="P203" s="342">
        <f t="shared" si="66"/>
        <v>1.7139594104583572E-2</v>
      </c>
      <c r="Q203" s="343">
        <f t="shared" si="67"/>
        <v>0.5456613833574252</v>
      </c>
      <c r="R203" s="344">
        <f t="shared" si="68"/>
        <v>-39.626035449740002</v>
      </c>
      <c r="S203" s="346">
        <f t="shared" si="69"/>
        <v>140.37396455025998</v>
      </c>
      <c r="U203" s="319">
        <f t="shared" si="75"/>
        <v>1000000000</v>
      </c>
      <c r="V203" s="319">
        <f t="shared" si="76"/>
        <v>133373626.5625</v>
      </c>
      <c r="X203" s="345">
        <f t="shared" si="70"/>
        <v>5.9715672997126914</v>
      </c>
      <c r="Y203" s="346">
        <f t="shared" si="71"/>
        <v>-28.161169888801137</v>
      </c>
      <c r="AA203" s="345">
        <f t="shared" si="72"/>
        <v>32.792061096990992</v>
      </c>
      <c r="AB203" s="346">
        <f t="shared" si="73"/>
        <v>-11.464865560938854</v>
      </c>
      <c r="AD203">
        <f t="shared" si="77"/>
        <v>0</v>
      </c>
      <c r="AE203">
        <f t="shared" si="80"/>
        <v>0</v>
      </c>
    </row>
    <row r="204" spans="1:31" x14ac:dyDescent="0.2">
      <c r="A204" s="347">
        <v>11615.5</v>
      </c>
      <c r="B204" s="364">
        <f t="shared" si="74"/>
        <v>11.615500000000001</v>
      </c>
      <c r="C204" s="337">
        <f t="shared" si="53"/>
        <v>1.0172990441358156</v>
      </c>
      <c r="D204" s="338">
        <f t="shared" si="54"/>
        <v>0.18467966905728483</v>
      </c>
      <c r="E204" s="338">
        <f t="shared" si="55"/>
        <v>1.0000002353212867</v>
      </c>
      <c r="F204" s="339">
        <f t="shared" si="56"/>
        <v>6.8603387758462764E-4</v>
      </c>
      <c r="G204" s="338">
        <f t="shared" si="57"/>
        <v>1</v>
      </c>
      <c r="H204" s="339">
        <f t="shared" si="58"/>
        <v>0</v>
      </c>
      <c r="I204" s="337">
        <f t="shared" si="59"/>
        <v>84077.58547630973</v>
      </c>
      <c r="J204" s="340">
        <f t="shared" si="60"/>
        <v>1.570784433018519</v>
      </c>
      <c r="K204" s="348">
        <f t="shared" si="81"/>
        <v>2.174671516836014</v>
      </c>
      <c r="L204" s="349">
        <f t="shared" si="82"/>
        <v>1.0929818086016856</v>
      </c>
      <c r="M204" s="337">
        <f t="shared" si="63"/>
        <v>1.0000651078508176</v>
      </c>
      <c r="N204" s="340">
        <f t="shared" si="64"/>
        <v>1.1410899919561138E-2</v>
      </c>
      <c r="O204" s="341">
        <f t="shared" si="65"/>
        <v>1.0000262096921855</v>
      </c>
      <c r="P204" s="342">
        <f t="shared" si="66"/>
        <v>1.7238662930460613E-2</v>
      </c>
      <c r="Q204" s="343">
        <f t="shared" si="67"/>
        <v>0.53334045971246358</v>
      </c>
      <c r="R204" s="344">
        <f t="shared" si="68"/>
        <v>-39.559631653830081</v>
      </c>
      <c r="S204" s="346">
        <f t="shared" si="69"/>
        <v>140.44036834616992</v>
      </c>
      <c r="U204" s="319">
        <f t="shared" si="75"/>
        <v>1000000000</v>
      </c>
      <c r="V204" s="319">
        <f t="shared" si="76"/>
        <v>134919840.25</v>
      </c>
      <c r="X204" s="345">
        <f t="shared" si="70"/>
        <v>5.9609276002612575</v>
      </c>
      <c r="Y204" s="346">
        <f t="shared" si="71"/>
        <v>-28.029870257224793</v>
      </c>
      <c r="AA204" s="345">
        <f t="shared" si="72"/>
        <v>32.790379872797466</v>
      </c>
      <c r="AB204" s="346">
        <f t="shared" si="73"/>
        <v>-11.5297613966053</v>
      </c>
      <c r="AD204">
        <f t="shared" si="77"/>
        <v>0</v>
      </c>
      <c r="AE204">
        <f t="shared" si="80"/>
        <v>0</v>
      </c>
    </row>
    <row r="205" spans="1:31" x14ac:dyDescent="0.2">
      <c r="A205" s="347">
        <v>11682.25</v>
      </c>
      <c r="B205" s="364">
        <f t="shared" si="74"/>
        <v>11.68225</v>
      </c>
      <c r="C205" s="337">
        <f t="shared" ref="C205:C268" si="83">SQRT(1+(A205/pole1)^2)</f>
        <v>1.0174967233455847</v>
      </c>
      <c r="D205" s="338">
        <f t="shared" ref="D205:D268" si="84">ATAN(A205/pole1)</f>
        <v>0.18571678659364882</v>
      </c>
      <c r="E205" s="338">
        <f t="shared" ref="E205:E268" si="85">SQRT(1+(A205/Zero1)^2)</f>
        <v>1.000000238033667</v>
      </c>
      <c r="F205" s="339">
        <f t="shared" ref="F205:F268" si="86">ATAN(A205/Zero1)</f>
        <v>6.8997626033497626E-4</v>
      </c>
      <c r="G205" s="338">
        <f t="shared" ref="G205:G268" si="87">IF(VIN_nom&gt;Vout, 1, SQRT(1+(A205/z_RHP)^2))</f>
        <v>1</v>
      </c>
      <c r="H205" s="339">
        <f t="shared" ref="H205:H268" si="88">IF(VIN_nom&gt;Vout, 0, -ATAN(A205/z_RHP))</f>
        <v>0</v>
      </c>
      <c r="I205" s="337">
        <f t="shared" ref="I205:I268" si="89">SQRT(1+(A205/Pole2)^2)</f>
        <v>84560.748390497844</v>
      </c>
      <c r="J205" s="340">
        <f t="shared" ref="J205:J268" si="90">ATAN(A205/Pole2)</f>
        <v>1.5707845009771377</v>
      </c>
      <c r="K205" s="348">
        <f t="shared" si="81"/>
        <v>2.1845319847085842</v>
      </c>
      <c r="L205" s="349">
        <f t="shared" si="82"/>
        <v>1.0953177895619559</v>
      </c>
      <c r="M205" s="337">
        <f t="shared" ref="M205:M268" si="91">SQRT(1+(A205/pole4)^2)</f>
        <v>1.0000658582778879</v>
      </c>
      <c r="N205" s="340">
        <f t="shared" ref="N205:N268" si="92">ATAN(A205/pole4)</f>
        <v>1.1476468417034622E-2</v>
      </c>
      <c r="O205" s="341">
        <f t="shared" ref="O205:O268" si="93">SQRT((1-(V205/pterm2))^2+(A205/pterm1)^2)</f>
        <v>1.0000265118759184</v>
      </c>
      <c r="P205" s="342">
        <f t="shared" ref="P205:P268" si="94">IF((ATAN((A205/pterm1)/(1-A205^2/pterm2))&gt;0),ATAN((A205/pterm1)/(1-A205^2/pterm2)),PI()+ATAN((A205/pterm1)/(1-A205^2/pterm2)))</f>
        <v>1.7337731835960525E-2</v>
      </c>
      <c r="Q205" s="343">
        <f t="shared" ref="Q205:Q268" si="95">20*LOG10(((E205*K205*G205)/(C205*I205*O205*M205))*Adc)</f>
        <v>0.5211667784712839</v>
      </c>
      <c r="R205" s="344">
        <f t="shared" ref="R205:R268" si="96">((F205+L205+H205)-(D205+J205+P205+N205))*radconv</f>
        <v>-39.494423301591411</v>
      </c>
      <c r="S205" s="346">
        <f t="shared" ref="S205:S268" si="97">IF(R205&gt;0,R205,R205+180)</f>
        <v>140.50557669840859</v>
      </c>
      <c r="U205" s="319">
        <f t="shared" si="75"/>
        <v>1000000000</v>
      </c>
      <c r="V205" s="319">
        <f t="shared" si="76"/>
        <v>136474965.0625</v>
      </c>
      <c r="X205" s="345">
        <f t="shared" ref="X205:X268" si="98">20*LOG10((K205/(I205*M205))*AEA)</f>
        <v>5.9504441782513506</v>
      </c>
      <c r="Y205" s="346">
        <f t="shared" ref="Y205:Y268" si="99">(L205-(J205+N205))*radconv</f>
        <v>-27.89978909894602</v>
      </c>
      <c r="AA205" s="345">
        <f t="shared" ref="AA205:AA268" si="100">20*LOG10((E205*G205/(C205*O205))*Acs*Am)</f>
        <v>32.788689613566191</v>
      </c>
      <c r="AB205" s="346">
        <f t="shared" ref="AB205:AB268" si="101">(F205+H205-(D205+P205))*radconv</f>
        <v>-11.594634202645393</v>
      </c>
      <c r="AD205">
        <f t="shared" si="77"/>
        <v>0</v>
      </c>
      <c r="AE205">
        <f t="shared" si="80"/>
        <v>0</v>
      </c>
    </row>
    <row r="206" spans="1:31" x14ac:dyDescent="0.2">
      <c r="A206" s="347">
        <v>11749</v>
      </c>
      <c r="B206" s="364">
        <f t="shared" ref="B206:B269" si="102">A206/1000</f>
        <v>11.749000000000001</v>
      </c>
      <c r="C206" s="337">
        <f t="shared" si="83"/>
        <v>1.0176954965619811</v>
      </c>
      <c r="D206" s="338">
        <f t="shared" si="84"/>
        <v>0.1867535001114117</v>
      </c>
      <c r="E206" s="338">
        <f t="shared" si="85"/>
        <v>1.0000002407615898</v>
      </c>
      <c r="F206" s="339">
        <f t="shared" si="86"/>
        <v>6.9391864306387718E-4</v>
      </c>
      <c r="G206" s="338">
        <f t="shared" si="87"/>
        <v>1</v>
      </c>
      <c r="H206" s="339">
        <f t="shared" si="88"/>
        <v>0</v>
      </c>
      <c r="I206" s="337">
        <f t="shared" si="89"/>
        <v>85043.911304686335</v>
      </c>
      <c r="J206" s="340">
        <f t="shared" si="90"/>
        <v>1.570784568163565</v>
      </c>
      <c r="K206" s="348">
        <f t="shared" si="81"/>
        <v>2.1944042659837302</v>
      </c>
      <c r="L206" s="349">
        <f t="shared" si="82"/>
        <v>1.0976327646347817</v>
      </c>
      <c r="M206" s="337">
        <f t="shared" si="91"/>
        <v>1.0000666130044624</v>
      </c>
      <c r="N206" s="340">
        <f t="shared" si="92"/>
        <v>1.1542036815824016E-2</v>
      </c>
      <c r="O206" s="341">
        <f t="shared" si="93"/>
        <v>1.0000268157931296</v>
      </c>
      <c r="P206" s="342">
        <f t="shared" si="94"/>
        <v>1.7436800821540387E-2</v>
      </c>
      <c r="Q206" s="343">
        <f t="shared" si="95"/>
        <v>0.50913740360501658</v>
      </c>
      <c r="R206" s="344">
        <f t="shared" si="96"/>
        <v>-39.430395304180898</v>
      </c>
      <c r="S206" s="346">
        <f t="shared" si="97"/>
        <v>140.56960469581909</v>
      </c>
      <c r="U206" s="319">
        <f t="shared" ref="U206:U269" si="103">IF(Q206&lt;0,A206,1000000000)</f>
        <v>1000000000</v>
      </c>
      <c r="V206" s="319">
        <f t="shared" ref="V206:V269" si="104">A206^2</f>
        <v>138039001</v>
      </c>
      <c r="X206" s="345">
        <f t="shared" si="98"/>
        <v>5.9401140868902234</v>
      </c>
      <c r="Y206" s="346">
        <f t="shared" si="99"/>
        <v>-27.770911439466648</v>
      </c>
      <c r="AA206" s="345">
        <f t="shared" si="100"/>
        <v>32.786990330061052</v>
      </c>
      <c r="AB206" s="346">
        <f t="shared" si="101"/>
        <v>-11.659483864714248</v>
      </c>
      <c r="AD206">
        <f t="shared" ref="AD206:AD269" si="105">SUM((Q207&lt;0)*(Q206&gt;0))*A206</f>
        <v>0</v>
      </c>
      <c r="AE206">
        <f t="shared" si="80"/>
        <v>0</v>
      </c>
    </row>
    <row r="207" spans="1:31" x14ac:dyDescent="0.2">
      <c r="A207" s="347">
        <v>11817.5</v>
      </c>
      <c r="B207" s="364">
        <f t="shared" si="102"/>
        <v>11.817500000000001</v>
      </c>
      <c r="C207" s="337">
        <f t="shared" si="83"/>
        <v>1.0179006177943668</v>
      </c>
      <c r="D207" s="338">
        <f t="shared" si="84"/>
        <v>0.18781697125033286</v>
      </c>
      <c r="E207" s="338">
        <f t="shared" si="85"/>
        <v>1.0000002435771902</v>
      </c>
      <c r="F207" s="339">
        <f t="shared" si="86"/>
        <v>6.9796438411904855E-4</v>
      </c>
      <c r="G207" s="338">
        <f t="shared" si="87"/>
        <v>1</v>
      </c>
      <c r="H207" s="339">
        <f t="shared" si="88"/>
        <v>0</v>
      </c>
      <c r="I207" s="337">
        <f t="shared" si="89"/>
        <v>85539.741411382056</v>
      </c>
      <c r="J207" s="340">
        <f t="shared" si="90"/>
        <v>1.5707846363223334</v>
      </c>
      <c r="K207" s="348">
        <f t="shared" si="81"/>
        <v>2.2045474867016219</v>
      </c>
      <c r="L207" s="349">
        <f t="shared" si="82"/>
        <v>1.0999868628786029</v>
      </c>
      <c r="M207" s="337">
        <f t="shared" si="91"/>
        <v>1.0000673919879295</v>
      </c>
      <c r="N207" s="340">
        <f t="shared" si="92"/>
        <v>1.1609324133114642E-2</v>
      </c>
      <c r="O207" s="341">
        <f t="shared" si="93"/>
        <v>1.0000271294804861</v>
      </c>
      <c r="P207" s="342">
        <f t="shared" si="94"/>
        <v>1.7538467205084958E-2</v>
      </c>
      <c r="Q207" s="343">
        <f t="shared" si="95"/>
        <v>0.49693967423088176</v>
      </c>
      <c r="R207" s="344">
        <f t="shared" si="96"/>
        <v>-39.365900253384495</v>
      </c>
      <c r="S207" s="346">
        <f t="shared" si="97"/>
        <v>140.6340997466155</v>
      </c>
      <c r="U207" s="319">
        <f t="shared" si="103"/>
        <v>1000000000</v>
      </c>
      <c r="V207" s="319">
        <f t="shared" si="104"/>
        <v>139653306.25</v>
      </c>
      <c r="X207" s="345">
        <f t="shared" si="98"/>
        <v>5.9296695624486615</v>
      </c>
      <c r="Y207" s="346">
        <f t="shared" si="99"/>
        <v>-27.639890729892084</v>
      </c>
      <c r="AA207" s="345">
        <f t="shared" si="100"/>
        <v>32.785237125128482</v>
      </c>
      <c r="AB207" s="346">
        <f t="shared" si="101"/>
        <v>-11.726009523492415</v>
      </c>
      <c r="AD207">
        <f t="shared" si="105"/>
        <v>0</v>
      </c>
      <c r="AE207">
        <f t="shared" si="80"/>
        <v>0</v>
      </c>
    </row>
    <row r="208" spans="1:31" x14ac:dyDescent="0.2">
      <c r="A208" s="347">
        <v>11886</v>
      </c>
      <c r="B208" s="364">
        <f t="shared" si="102"/>
        <v>11.885999999999999</v>
      </c>
      <c r="C208" s="337">
        <f t="shared" si="83"/>
        <v>1.0181068897780554</v>
      </c>
      <c r="D208" s="338">
        <f t="shared" si="84"/>
        <v>0.18888001266524249</v>
      </c>
      <c r="E208" s="338">
        <f t="shared" si="85"/>
        <v>1.0000002464091584</v>
      </c>
      <c r="F208" s="339">
        <f t="shared" si="86"/>
        <v>7.0201012515137145E-4</v>
      </c>
      <c r="G208" s="338">
        <f t="shared" si="87"/>
        <v>1</v>
      </c>
      <c r="H208" s="339">
        <f t="shared" si="88"/>
        <v>0</v>
      </c>
      <c r="I208" s="337">
        <f t="shared" si="89"/>
        <v>86035.571518078155</v>
      </c>
      <c r="J208" s="340">
        <f t="shared" si="90"/>
        <v>1.5707847036954927</v>
      </c>
      <c r="K208" s="348">
        <f t="shared" si="81"/>
        <v>2.2147028125867245</v>
      </c>
      <c r="L208" s="349">
        <f t="shared" si="82"/>
        <v>1.102319384927325</v>
      </c>
      <c r="M208" s="337">
        <f t="shared" si="91"/>
        <v>1.000068175499278</v>
      </c>
      <c r="N208" s="340">
        <f t="shared" si="92"/>
        <v>1.1676611345276349E-2</v>
      </c>
      <c r="O208" s="341">
        <f t="shared" si="93"/>
        <v>1.0000274449934763</v>
      </c>
      <c r="P208" s="342">
        <f t="shared" si="94"/>
        <v>1.7640133673938761E-2</v>
      </c>
      <c r="Q208" s="343">
        <f t="shared" si="95"/>
        <v>0.48488786631266312</v>
      </c>
      <c r="R208" s="344">
        <f t="shared" si="96"/>
        <v>-39.302616759988062</v>
      </c>
      <c r="S208" s="346">
        <f t="shared" si="97"/>
        <v>140.69738324001193</v>
      </c>
      <c r="U208" s="319">
        <f t="shared" si="103"/>
        <v>1000000000</v>
      </c>
      <c r="V208" s="319">
        <f t="shared" si="104"/>
        <v>141276996</v>
      </c>
      <c r="X208" s="345">
        <f t="shared" si="98"/>
        <v>5.9193804400004701</v>
      </c>
      <c r="Y208" s="346">
        <f t="shared" si="99"/>
        <v>-27.510106194200556</v>
      </c>
      <c r="AA208" s="345">
        <f t="shared" si="100"/>
        <v>32.783474439658455</v>
      </c>
      <c r="AB208" s="346">
        <f t="shared" si="101"/>
        <v>-11.792510565787508</v>
      </c>
      <c r="AD208">
        <f t="shared" si="105"/>
        <v>0</v>
      </c>
      <c r="AE208">
        <f t="shared" si="80"/>
        <v>0</v>
      </c>
    </row>
    <row r="209" spans="1:31" x14ac:dyDescent="0.2">
      <c r="A209" s="347">
        <v>11954.5</v>
      </c>
      <c r="B209" s="364">
        <f t="shared" si="102"/>
        <v>11.954499999999999</v>
      </c>
      <c r="C209" s="337">
        <f t="shared" si="83"/>
        <v>1.0183143118137508</v>
      </c>
      <c r="D209" s="338">
        <f t="shared" si="84"/>
        <v>0.18994262221541625</v>
      </c>
      <c r="E209" s="338">
        <f t="shared" si="85"/>
        <v>1.0000002492574949</v>
      </c>
      <c r="F209" s="339">
        <f t="shared" si="86"/>
        <v>7.0605586616071339E-4</v>
      </c>
      <c r="G209" s="338">
        <f t="shared" si="87"/>
        <v>1</v>
      </c>
      <c r="H209" s="339">
        <f t="shared" si="88"/>
        <v>0</v>
      </c>
      <c r="I209" s="337">
        <f t="shared" si="89"/>
        <v>86531.401624774633</v>
      </c>
      <c r="J209" s="340">
        <f t="shared" si="90"/>
        <v>1.5707847702965476</v>
      </c>
      <c r="K209" s="348">
        <f t="shared" si="81"/>
        <v>2.2248700778784647</v>
      </c>
      <c r="L209" s="349">
        <f t="shared" si="82"/>
        <v>1.1046306010232763</v>
      </c>
      <c r="M209" s="337">
        <f t="shared" si="91"/>
        <v>1.0000689635384967</v>
      </c>
      <c r="N209" s="340">
        <f t="shared" si="92"/>
        <v>1.1743898451700091E-2</v>
      </c>
      <c r="O209" s="341">
        <f t="shared" si="93"/>
        <v>1.0000277623321359</v>
      </c>
      <c r="P209" s="342">
        <f t="shared" si="94"/>
        <v>1.7741800228595749E-2</v>
      </c>
      <c r="Q209" s="343">
        <f t="shared" si="95"/>
        <v>0.47297902067255976</v>
      </c>
      <c r="R209" s="344">
        <f t="shared" si="96"/>
        <v>-39.240529218359391</v>
      </c>
      <c r="S209" s="346">
        <f t="shared" si="97"/>
        <v>140.7594707816406</v>
      </c>
      <c r="U209" s="319">
        <f t="shared" si="103"/>
        <v>1000000000</v>
      </c>
      <c r="V209" s="319">
        <f t="shared" si="104"/>
        <v>142910070.25</v>
      </c>
      <c r="X209" s="345">
        <f t="shared" si="98"/>
        <v>5.9092437485794838</v>
      </c>
      <c r="Y209" s="346">
        <f t="shared" si="99"/>
        <v>-27.381542349386013</v>
      </c>
      <c r="AA209" s="345">
        <f t="shared" si="100"/>
        <v>32.781702285439337</v>
      </c>
      <c r="AB209" s="346">
        <f t="shared" si="101"/>
        <v>-11.858986868973362</v>
      </c>
      <c r="AD209">
        <f t="shared" si="105"/>
        <v>0</v>
      </c>
      <c r="AE209">
        <f t="shared" si="80"/>
        <v>0</v>
      </c>
    </row>
    <row r="210" spans="1:31" x14ac:dyDescent="0.2">
      <c r="A210" s="347">
        <v>12023</v>
      </c>
      <c r="B210" s="364">
        <f t="shared" si="102"/>
        <v>12.023</v>
      </c>
      <c r="C210" s="337">
        <f t="shared" si="83"/>
        <v>1.0185228831988289</v>
      </c>
      <c r="D210" s="338">
        <f t="shared" si="84"/>
        <v>0.19100479776577001</v>
      </c>
      <c r="E210" s="338">
        <f t="shared" si="85"/>
        <v>1.0000002521221991</v>
      </c>
      <c r="F210" s="339">
        <f t="shared" si="86"/>
        <v>7.1010160714694186E-4</v>
      </c>
      <c r="G210" s="338">
        <f t="shared" si="87"/>
        <v>1</v>
      </c>
      <c r="H210" s="339">
        <f t="shared" si="88"/>
        <v>0</v>
      </c>
      <c r="I210" s="337">
        <f t="shared" si="89"/>
        <v>87027.231731471504</v>
      </c>
      <c r="J210" s="340">
        <f t="shared" si="90"/>
        <v>1.5707848361386949</v>
      </c>
      <c r="K210" s="348">
        <f t="shared" si="81"/>
        <v>2.2350491196393363</v>
      </c>
      <c r="L210" s="349">
        <f t="shared" si="82"/>
        <v>1.1069207774049181</v>
      </c>
      <c r="M210" s="337">
        <f t="shared" si="91"/>
        <v>1.0000697561055754</v>
      </c>
      <c r="N210" s="340">
        <f t="shared" si="92"/>
        <v>1.181118545177683E-2</v>
      </c>
      <c r="O210" s="341">
        <f t="shared" si="93"/>
        <v>1.000028081496501</v>
      </c>
      <c r="P210" s="342">
        <f t="shared" si="94"/>
        <v>1.7843466869549837E-2</v>
      </c>
      <c r="Q210" s="343">
        <f t="shared" si="95"/>
        <v>0.4612102465593656</v>
      </c>
      <c r="R210" s="344">
        <f t="shared" si="96"/>
        <v>-39.179622252576493</v>
      </c>
      <c r="S210" s="346">
        <f t="shared" si="97"/>
        <v>140.82037774742349</v>
      </c>
      <c r="U210" s="319">
        <f t="shared" si="103"/>
        <v>1000000000</v>
      </c>
      <c r="V210" s="319">
        <f t="shared" si="104"/>
        <v>144552529</v>
      </c>
      <c r="X210" s="345">
        <f t="shared" si="98"/>
        <v>5.8992565855941361</v>
      </c>
      <c r="Y210" s="346">
        <f t="shared" si="99"/>
        <v>-27.254183941829517</v>
      </c>
      <c r="AA210" s="345">
        <f t="shared" si="100"/>
        <v>32.779920674311491</v>
      </c>
      <c r="AB210" s="346">
        <f t="shared" si="101"/>
        <v>-11.925438310746978</v>
      </c>
      <c r="AD210">
        <f t="shared" si="105"/>
        <v>0</v>
      </c>
      <c r="AE210">
        <f t="shared" si="80"/>
        <v>0</v>
      </c>
    </row>
    <row r="211" spans="1:31" x14ac:dyDescent="0.2">
      <c r="A211" s="347">
        <v>12093</v>
      </c>
      <c r="B211" s="364">
        <f t="shared" si="102"/>
        <v>12.093</v>
      </c>
      <c r="C211" s="337">
        <f t="shared" si="83"/>
        <v>1.0187372084831749</v>
      </c>
      <c r="D211" s="338">
        <f t="shared" si="84"/>
        <v>0.19208978205949795</v>
      </c>
      <c r="E211" s="338">
        <f t="shared" si="85"/>
        <v>1.0000002550665439</v>
      </c>
      <c r="F211" s="339">
        <f t="shared" si="86"/>
        <v>7.1423594097746578E-4</v>
      </c>
      <c r="G211" s="338">
        <f t="shared" si="87"/>
        <v>1</v>
      </c>
      <c r="H211" s="339">
        <f t="shared" si="88"/>
        <v>0</v>
      </c>
      <c r="I211" s="337">
        <f t="shared" si="89"/>
        <v>87533.919431746064</v>
      </c>
      <c r="J211" s="340">
        <f t="shared" si="90"/>
        <v>1.5707849026520442</v>
      </c>
      <c r="K211" s="348">
        <f t="shared" si="81"/>
        <v>2.2454630595743583</v>
      </c>
      <c r="L211" s="349">
        <f t="shared" si="82"/>
        <v>1.1092396407203668</v>
      </c>
      <c r="M211" s="337">
        <f t="shared" si="91"/>
        <v>1.0000705707057969</v>
      </c>
      <c r="N211" s="340">
        <f t="shared" si="92"/>
        <v>1.1879945779312021E-2</v>
      </c>
      <c r="O211" s="341">
        <f t="shared" si="93"/>
        <v>1.0000284095360163</v>
      </c>
      <c r="P211" s="342">
        <f t="shared" si="94"/>
        <v>1.7947359876979509E-2</v>
      </c>
      <c r="Q211" s="343">
        <f t="shared" si="95"/>
        <v>0.44932552955271682</v>
      </c>
      <c r="R211" s="344">
        <f t="shared" si="96"/>
        <v>-39.118585430599367</v>
      </c>
      <c r="S211" s="346">
        <f t="shared" si="97"/>
        <v>140.88141456940065</v>
      </c>
      <c r="U211" s="319">
        <f t="shared" si="103"/>
        <v>1000000000</v>
      </c>
      <c r="V211" s="319">
        <f t="shared" si="104"/>
        <v>146240649</v>
      </c>
      <c r="X211" s="345">
        <f t="shared" si="98"/>
        <v>5.8892022505266244</v>
      </c>
      <c r="Y211" s="346">
        <f t="shared" si="99"/>
        <v>-27.125266347939178</v>
      </c>
      <c r="AA211" s="345">
        <f t="shared" si="100"/>
        <v>32.778090292372354</v>
      </c>
      <c r="AB211" s="346">
        <f t="shared" si="101"/>
        <v>-11.993319082660189</v>
      </c>
      <c r="AD211">
        <f t="shared" si="105"/>
        <v>0</v>
      </c>
      <c r="AE211">
        <f t="shared" si="80"/>
        <v>0</v>
      </c>
    </row>
    <row r="212" spans="1:31" x14ac:dyDescent="0.2">
      <c r="A212" s="347">
        <v>12163</v>
      </c>
      <c r="B212" s="364">
        <f t="shared" si="102"/>
        <v>12.163</v>
      </c>
      <c r="C212" s="337">
        <f t="shared" si="83"/>
        <v>1.0189527325103902</v>
      </c>
      <c r="D212" s="338">
        <f t="shared" si="84"/>
        <v>0.19317430864805499</v>
      </c>
      <c r="E212" s="338">
        <f t="shared" si="85"/>
        <v>1.0000002580279814</v>
      </c>
      <c r="F212" s="339">
        <f t="shared" si="86"/>
        <v>7.1837027478357314E-4</v>
      </c>
      <c r="G212" s="338">
        <f t="shared" si="87"/>
        <v>1</v>
      </c>
      <c r="H212" s="339">
        <f t="shared" si="88"/>
        <v>0</v>
      </c>
      <c r="I212" s="337">
        <f t="shared" si="89"/>
        <v>88040.607132020989</v>
      </c>
      <c r="J212" s="340">
        <f t="shared" si="90"/>
        <v>1.5707849683998039</v>
      </c>
      <c r="K212" s="348">
        <f t="shared" si="81"/>
        <v>2.2558889621353657</v>
      </c>
      <c r="L212" s="349">
        <f t="shared" si="82"/>
        <v>1.1115370824000459</v>
      </c>
      <c r="M212" s="337">
        <f t="shared" si="91"/>
        <v>1.000071390034327</v>
      </c>
      <c r="N212" s="340">
        <f t="shared" si="92"/>
        <v>1.1948705994505752E-2</v>
      </c>
      <c r="O212" s="341">
        <f t="shared" si="93"/>
        <v>1.0000287394821474</v>
      </c>
      <c r="P212" s="342">
        <f t="shared" si="94"/>
        <v>1.8051252975569983E-2</v>
      </c>
      <c r="Q212" s="343">
        <f t="shared" si="95"/>
        <v>0.43758119298975806</v>
      </c>
      <c r="R212" s="344">
        <f t="shared" si="96"/>
        <v>-39.058749708291735</v>
      </c>
      <c r="S212" s="346">
        <f t="shared" si="97"/>
        <v>140.94125029170826</v>
      </c>
      <c r="U212" s="319">
        <f t="shared" si="103"/>
        <v>1000000000</v>
      </c>
      <c r="V212" s="319">
        <f t="shared" si="104"/>
        <v>147938569</v>
      </c>
      <c r="X212" s="345">
        <f t="shared" si="98"/>
        <v>5.879298146352447</v>
      </c>
      <c r="Y212" s="346">
        <f t="shared" si="99"/>
        <v>-26.997576073068377</v>
      </c>
      <c r="AA212" s="345">
        <f t="shared" si="100"/>
        <v>32.776250059983568</v>
      </c>
      <c r="AB212" s="346">
        <f t="shared" si="101"/>
        <v>-12.061173635223346</v>
      </c>
      <c r="AD212">
        <f t="shared" si="105"/>
        <v>0</v>
      </c>
      <c r="AE212">
        <f t="shared" si="80"/>
        <v>0</v>
      </c>
    </row>
    <row r="213" spans="1:31" x14ac:dyDescent="0.2">
      <c r="A213" s="347">
        <v>12233</v>
      </c>
      <c r="B213" s="364">
        <f t="shared" si="102"/>
        <v>12.233000000000001</v>
      </c>
      <c r="C213" s="337">
        <f t="shared" si="83"/>
        <v>1.0191694545199792</v>
      </c>
      <c r="D213" s="338">
        <f t="shared" si="84"/>
        <v>0.194258375271391</v>
      </c>
      <c r="E213" s="338">
        <f t="shared" si="85"/>
        <v>1.0000002610065115</v>
      </c>
      <c r="F213" s="339">
        <f t="shared" si="86"/>
        <v>7.2250460856512289E-4</v>
      </c>
      <c r="G213" s="338">
        <f t="shared" si="87"/>
        <v>1</v>
      </c>
      <c r="H213" s="339">
        <f t="shared" si="88"/>
        <v>0</v>
      </c>
      <c r="I213" s="337">
        <f t="shared" si="89"/>
        <v>88547.294832296306</v>
      </c>
      <c r="J213" s="340">
        <f t="shared" si="90"/>
        <v>1.5707850333951161</v>
      </c>
      <c r="K213" s="348">
        <f t="shared" si="81"/>
        <v>2.2663266622254588</v>
      </c>
      <c r="L213" s="349">
        <f t="shared" si="82"/>
        <v>1.1138133739982781</v>
      </c>
      <c r="M213" s="337">
        <f t="shared" si="91"/>
        <v>1.0000722140911542</v>
      </c>
      <c r="N213" s="340">
        <f t="shared" si="92"/>
        <v>1.2017466096708113E-2</v>
      </c>
      <c r="O213" s="341">
        <f t="shared" si="93"/>
        <v>1.0000290713349336</v>
      </c>
      <c r="P213" s="342">
        <f t="shared" si="94"/>
        <v>1.8155146165848318E-2</v>
      </c>
      <c r="Q213" s="343">
        <f t="shared" si="95"/>
        <v>0.42597436183697152</v>
      </c>
      <c r="R213" s="344">
        <f t="shared" si="96"/>
        <v>-39.000099397991541</v>
      </c>
      <c r="S213" s="346">
        <f t="shared" si="97"/>
        <v>140.99990060200847</v>
      </c>
      <c r="U213" s="319">
        <f t="shared" si="103"/>
        <v>1000000000</v>
      </c>
      <c r="V213" s="319">
        <f t="shared" si="104"/>
        <v>149646289</v>
      </c>
      <c r="X213" s="345">
        <f t="shared" si="98"/>
        <v>5.8695413852360678</v>
      </c>
      <c r="Y213" s="346">
        <f t="shared" si="99"/>
        <v>-26.871097559016217</v>
      </c>
      <c r="AA213" s="345">
        <f t="shared" si="100"/>
        <v>32.774399989947163</v>
      </c>
      <c r="AB213" s="346">
        <f t="shared" si="101"/>
        <v>-12.12900183897532</v>
      </c>
      <c r="AD213">
        <f t="shared" si="105"/>
        <v>0</v>
      </c>
      <c r="AE213">
        <f t="shared" si="80"/>
        <v>0</v>
      </c>
    </row>
    <row r="214" spans="1:31" x14ac:dyDescent="0.2">
      <c r="A214" s="347">
        <v>12303</v>
      </c>
      <c r="B214" s="364">
        <f t="shared" si="102"/>
        <v>12.303000000000001</v>
      </c>
      <c r="C214" s="337">
        <f t="shared" si="83"/>
        <v>1.019387373747868</v>
      </c>
      <c r="D214" s="338">
        <f t="shared" si="84"/>
        <v>0.19534197967569697</v>
      </c>
      <c r="E214" s="338">
        <f t="shared" si="85"/>
        <v>1.0000002640021344</v>
      </c>
      <c r="F214" s="339">
        <f t="shared" si="86"/>
        <v>7.2663894232197343E-4</v>
      </c>
      <c r="G214" s="338">
        <f t="shared" si="87"/>
        <v>1</v>
      </c>
      <c r="H214" s="339">
        <f t="shared" si="88"/>
        <v>0</v>
      </c>
      <c r="I214" s="337">
        <f t="shared" si="89"/>
        <v>89053.982532571987</v>
      </c>
      <c r="J214" s="340">
        <f t="shared" si="90"/>
        <v>1.5707850976508249</v>
      </c>
      <c r="K214" s="348">
        <f t="shared" si="81"/>
        <v>2.2767759975901174</v>
      </c>
      <c r="L214" s="349">
        <f t="shared" si="82"/>
        <v>1.116068782969339</v>
      </c>
      <c r="M214" s="337">
        <f t="shared" si="91"/>
        <v>1.0000730428762665</v>
      </c>
      <c r="N214" s="340">
        <f t="shared" si="92"/>
        <v>1.2086226085269195E-2</v>
      </c>
      <c r="O214" s="341">
        <f t="shared" si="93"/>
        <v>1.0000294050944141</v>
      </c>
      <c r="P214" s="342">
        <f t="shared" si="94"/>
        <v>1.825903944834157E-2</v>
      </c>
      <c r="Q214" s="343">
        <f t="shared" si="95"/>
        <v>0.41450222801106112</v>
      </c>
      <c r="R214" s="344">
        <f t="shared" si="96"/>
        <v>-38.942619047292744</v>
      </c>
      <c r="S214" s="346">
        <f t="shared" si="97"/>
        <v>141.05738095270726</v>
      </c>
      <c r="U214" s="319">
        <f t="shared" si="103"/>
        <v>1000000000</v>
      </c>
      <c r="V214" s="319">
        <f t="shared" si="104"/>
        <v>151363809</v>
      </c>
      <c r="X214" s="345">
        <f t="shared" si="98"/>
        <v>5.8599291462365608</v>
      </c>
      <c r="Y214" s="346">
        <f t="shared" si="99"/>
        <v>-26.745815482480172</v>
      </c>
      <c r="AA214" s="345">
        <f t="shared" si="100"/>
        <v>32.77254009512076</v>
      </c>
      <c r="AB214" s="346">
        <f t="shared" si="101"/>
        <v>-12.196803564812573</v>
      </c>
      <c r="AD214">
        <f t="shared" si="105"/>
        <v>0</v>
      </c>
      <c r="AE214">
        <f t="shared" si="80"/>
        <v>0</v>
      </c>
    </row>
    <row r="215" spans="1:31" x14ac:dyDescent="0.2">
      <c r="A215" s="347">
        <v>12374.5</v>
      </c>
      <c r="B215" s="364">
        <f t="shared" si="102"/>
        <v>12.374499999999999</v>
      </c>
      <c r="C215" s="337">
        <f t="shared" si="83"/>
        <v>1.0196111978505142</v>
      </c>
      <c r="D215" s="338">
        <f t="shared" si="84"/>
        <v>0.19644832465534612</v>
      </c>
      <c r="E215" s="338">
        <f t="shared" si="85"/>
        <v>1.0000002670795951</v>
      </c>
      <c r="F215" s="339">
        <f t="shared" si="86"/>
        <v>7.3086186891939647E-4</v>
      </c>
      <c r="G215" s="338">
        <f t="shared" si="87"/>
        <v>1</v>
      </c>
      <c r="H215" s="339">
        <f t="shared" si="88"/>
        <v>0</v>
      </c>
      <c r="I215" s="337">
        <f t="shared" si="89"/>
        <v>89571.527826425387</v>
      </c>
      <c r="J215" s="340">
        <f t="shared" si="90"/>
        <v>1.5707851625329454</v>
      </c>
      <c r="K215" s="348">
        <f t="shared" ref="K215:K278" si="106">SQRT(1+(A215/Zero2)^2)</f>
        <v>2.2874610934291715</v>
      </c>
      <c r="L215" s="349">
        <f t="shared" ref="L215:L278" si="107">ATAN(A215/Zero2)</f>
        <v>1.1183512373509186</v>
      </c>
      <c r="M215" s="337">
        <f t="shared" si="91"/>
        <v>1.000073894302399</v>
      </c>
      <c r="N215" s="340">
        <f t="shared" si="92"/>
        <v>1.2156459384160727E-2</v>
      </c>
      <c r="O215" s="341">
        <f t="shared" si="93"/>
        <v>1.0000297479743432</v>
      </c>
      <c r="P215" s="342">
        <f t="shared" si="94"/>
        <v>1.8365159111207813E-2</v>
      </c>
      <c r="Q215" s="343">
        <f t="shared" si="95"/>
        <v>0.40292046896093792</v>
      </c>
      <c r="R215" s="344">
        <f t="shared" si="96"/>
        <v>-38.885098984264538</v>
      </c>
      <c r="S215" s="346">
        <f t="shared" si="97"/>
        <v>141.11490101573546</v>
      </c>
      <c r="U215" s="319">
        <f t="shared" si="103"/>
        <v>1000000000</v>
      </c>
      <c r="V215" s="319">
        <f t="shared" si="104"/>
        <v>153128250.25</v>
      </c>
      <c r="X215" s="345">
        <f t="shared" si="98"/>
        <v>5.8502572663179722</v>
      </c>
      <c r="Y215" s="346">
        <f t="shared" si="99"/>
        <v>-26.619068268419127</v>
      </c>
      <c r="AA215" s="345">
        <f t="shared" si="100"/>
        <v>32.770630215989229</v>
      </c>
      <c r="AB215" s="346">
        <f t="shared" si="101"/>
        <v>-12.266030715845419</v>
      </c>
      <c r="AD215">
        <f t="shared" si="105"/>
        <v>0</v>
      </c>
      <c r="AE215">
        <f t="shared" si="80"/>
        <v>0</v>
      </c>
    </row>
    <row r="216" spans="1:31" x14ac:dyDescent="0.2">
      <c r="A216" s="347">
        <v>12446</v>
      </c>
      <c r="B216" s="364">
        <f t="shared" si="102"/>
        <v>12.446</v>
      </c>
      <c r="C216" s="337">
        <f t="shared" si="83"/>
        <v>1.0198362694077745</v>
      </c>
      <c r="D216" s="338">
        <f t="shared" si="84"/>
        <v>0.19755418266107885</v>
      </c>
      <c r="E216" s="338">
        <f t="shared" si="85"/>
        <v>1.0000002701748891</v>
      </c>
      <c r="F216" s="339">
        <f t="shared" si="86"/>
        <v>7.3508479549075248E-4</v>
      </c>
      <c r="G216" s="338">
        <f t="shared" si="87"/>
        <v>1</v>
      </c>
      <c r="H216" s="339">
        <f t="shared" si="88"/>
        <v>0</v>
      </c>
      <c r="I216" s="337">
        <f t="shared" si="89"/>
        <v>90089.07312027915</v>
      </c>
      <c r="J216" s="340">
        <f t="shared" si="90"/>
        <v>1.5707852266695941</v>
      </c>
      <c r="K216" s="348">
        <f t="shared" si="106"/>
        <v>2.2981579951730375</v>
      </c>
      <c r="L216" s="349">
        <f t="shared" si="107"/>
        <v>1.1206124558045323</v>
      </c>
      <c r="M216" s="337">
        <f t="shared" si="91"/>
        <v>1.0000747506616041</v>
      </c>
      <c r="N216" s="340">
        <f t="shared" si="92"/>
        <v>1.2226692563117822E-2</v>
      </c>
      <c r="O216" s="341">
        <f t="shared" si="93"/>
        <v>1.0000300928436416</v>
      </c>
      <c r="P216" s="342">
        <f t="shared" si="94"/>
        <v>1.8471278871394912E-2</v>
      </c>
      <c r="Q216" s="343">
        <f t="shared" si="95"/>
        <v>0.39147352554948284</v>
      </c>
      <c r="R216" s="344">
        <f t="shared" si="96"/>
        <v>-38.828767704727497</v>
      </c>
      <c r="S216" s="346">
        <f t="shared" si="97"/>
        <v>141.17123229527249</v>
      </c>
      <c r="U216" s="319">
        <f t="shared" si="103"/>
        <v>1000000000</v>
      </c>
      <c r="V216" s="319">
        <f t="shared" si="104"/>
        <v>154902916</v>
      </c>
      <c r="X216" s="345">
        <f t="shared" si="98"/>
        <v>5.8407304251090952</v>
      </c>
      <c r="Y216" s="346">
        <f t="shared" si="99"/>
        <v>-26.493537733821832</v>
      </c>
      <c r="AA216" s="345">
        <f t="shared" si="100"/>
        <v>32.768710113786653</v>
      </c>
      <c r="AB216" s="346">
        <f t="shared" si="101"/>
        <v>-12.33522997090566</v>
      </c>
      <c r="AD216">
        <f t="shared" si="105"/>
        <v>0</v>
      </c>
      <c r="AE216">
        <f t="shared" si="80"/>
        <v>0</v>
      </c>
    </row>
    <row r="217" spans="1:31" x14ac:dyDescent="0.2">
      <c r="A217" s="347">
        <v>12517.5</v>
      </c>
      <c r="B217" s="364">
        <f t="shared" si="102"/>
        <v>12.5175</v>
      </c>
      <c r="C217" s="337">
        <f t="shared" si="83"/>
        <v>1.0200625875939151</v>
      </c>
      <c r="D217" s="338">
        <f t="shared" si="84"/>
        <v>0.19865955131138291</v>
      </c>
      <c r="E217" s="338">
        <f t="shared" si="85"/>
        <v>1.0000002732880162</v>
      </c>
      <c r="F217" s="339">
        <f t="shared" si="86"/>
        <v>7.3930772203589085E-4</v>
      </c>
      <c r="G217" s="338">
        <f t="shared" si="87"/>
        <v>1</v>
      </c>
      <c r="H217" s="339">
        <f t="shared" si="88"/>
        <v>0</v>
      </c>
      <c r="I217" s="337">
        <f t="shared" si="89"/>
        <v>90606.618414133307</v>
      </c>
      <c r="J217" s="340">
        <f t="shared" si="90"/>
        <v>1.5707852900735453</v>
      </c>
      <c r="K217" s="348">
        <f t="shared" si="106"/>
        <v>2.3088665387326301</v>
      </c>
      <c r="L217" s="349">
        <f t="shared" si="107"/>
        <v>1.1228527105218415</v>
      </c>
      <c r="M217" s="337">
        <f t="shared" si="91"/>
        <v>1.0000756119538687</v>
      </c>
      <c r="N217" s="340">
        <f t="shared" si="92"/>
        <v>1.2296925621447918E-2</v>
      </c>
      <c r="O217" s="341">
        <f t="shared" si="93"/>
        <v>1.0000304397023521</v>
      </c>
      <c r="P217" s="342">
        <f t="shared" si="94"/>
        <v>1.8577398729464494E-2</v>
      </c>
      <c r="Q217" s="343">
        <f t="shared" si="95"/>
        <v>0.38015861015019575</v>
      </c>
      <c r="R217" s="344">
        <f t="shared" si="96"/>
        <v>-38.773609477521966</v>
      </c>
      <c r="S217" s="346">
        <f t="shared" si="97"/>
        <v>141.22639052247803</v>
      </c>
      <c r="U217" s="319">
        <f t="shared" si="103"/>
        <v>1000000000</v>
      </c>
      <c r="V217" s="319">
        <f t="shared" si="104"/>
        <v>156687806.25</v>
      </c>
      <c r="X217" s="345">
        <f t="shared" si="98"/>
        <v>5.8313458211035822</v>
      </c>
      <c r="Y217" s="346">
        <f t="shared" si="99"/>
        <v>-26.369208283947096</v>
      </c>
      <c r="AA217" s="345">
        <f t="shared" si="100"/>
        <v>32.766779802392875</v>
      </c>
      <c r="AB217" s="346">
        <f t="shared" si="101"/>
        <v>-12.404401193574879</v>
      </c>
      <c r="AD217">
        <f t="shared" si="105"/>
        <v>0</v>
      </c>
      <c r="AE217">
        <f t="shared" si="80"/>
        <v>0</v>
      </c>
    </row>
    <row r="218" spans="1:31" x14ac:dyDescent="0.2">
      <c r="A218" s="347">
        <v>12589</v>
      </c>
      <c r="B218" s="364">
        <f t="shared" si="102"/>
        <v>12.589</v>
      </c>
      <c r="C218" s="337">
        <f t="shared" si="83"/>
        <v>1.0202901515793641</v>
      </c>
      <c r="D218" s="338">
        <f t="shared" si="84"/>
        <v>0.19976442823163665</v>
      </c>
      <c r="E218" s="338">
        <f t="shared" si="85"/>
        <v>1.0000002764189764</v>
      </c>
      <c r="F218" s="339">
        <f t="shared" si="86"/>
        <v>7.4353064855466077E-4</v>
      </c>
      <c r="G218" s="338">
        <f t="shared" si="87"/>
        <v>1</v>
      </c>
      <c r="H218" s="339">
        <f t="shared" si="88"/>
        <v>0</v>
      </c>
      <c r="I218" s="337">
        <f t="shared" si="89"/>
        <v>91124.163707987798</v>
      </c>
      <c r="J218" s="340">
        <f t="shared" si="90"/>
        <v>1.5707853527572833</v>
      </c>
      <c r="K218" s="348">
        <f t="shared" si="106"/>
        <v>2.3195865628720358</v>
      </c>
      <c r="L218" s="349">
        <f t="shared" si="107"/>
        <v>1.1250722695126618</v>
      </c>
      <c r="M218" s="337">
        <f t="shared" si="91"/>
        <v>1.0000764781791802</v>
      </c>
      <c r="N218" s="340">
        <f t="shared" si="92"/>
        <v>1.2367158558458448E-2</v>
      </c>
      <c r="O218" s="341">
        <f t="shared" si="93"/>
        <v>1.0000307885505171</v>
      </c>
      <c r="P218" s="342">
        <f t="shared" si="94"/>
        <v>1.8683518685978184E-2</v>
      </c>
      <c r="Q218" s="343">
        <f t="shared" si="95"/>
        <v>0.36897300047093129</v>
      </c>
      <c r="R218" s="344">
        <f t="shared" si="96"/>
        <v>-38.719608811468667</v>
      </c>
      <c r="S218" s="346">
        <f t="shared" si="97"/>
        <v>141.28039118853133</v>
      </c>
      <c r="U218" s="319">
        <f t="shared" si="103"/>
        <v>1000000000</v>
      </c>
      <c r="V218" s="319">
        <f t="shared" si="104"/>
        <v>158482921</v>
      </c>
      <c r="X218" s="345">
        <f t="shared" si="98"/>
        <v>5.8221007180701569</v>
      </c>
      <c r="Y218" s="346">
        <f t="shared" si="99"/>
        <v>-26.246064563639198</v>
      </c>
      <c r="AA218" s="345">
        <f t="shared" si="100"/>
        <v>32.764839295747038</v>
      </c>
      <c r="AB218" s="346">
        <f t="shared" si="101"/>
        <v>-12.473544247829464</v>
      </c>
      <c r="AD218">
        <f t="shared" si="105"/>
        <v>0</v>
      </c>
      <c r="AE218">
        <f t="shared" ref="AE218:AE281" si="108">IF(AD218&gt;0,S218,0)</f>
        <v>0</v>
      </c>
    </row>
    <row r="219" spans="1:31" x14ac:dyDescent="0.2">
      <c r="A219" s="347">
        <v>12662.25</v>
      </c>
      <c r="B219" s="364">
        <f t="shared" si="102"/>
        <v>12.66225</v>
      </c>
      <c r="C219" s="337">
        <f t="shared" si="83"/>
        <v>1.0205245763512345</v>
      </c>
      <c r="D219" s="338">
        <f t="shared" si="84"/>
        <v>0.20089583518830176</v>
      </c>
      <c r="E219" s="338">
        <f t="shared" si="85"/>
        <v>1.0000002796450616</v>
      </c>
      <c r="F219" s="339">
        <f t="shared" si="86"/>
        <v>7.4785693338729766E-4</v>
      </c>
      <c r="G219" s="338">
        <f t="shared" si="87"/>
        <v>1</v>
      </c>
      <c r="H219" s="339">
        <f t="shared" si="88"/>
        <v>0</v>
      </c>
      <c r="I219" s="337">
        <f t="shared" si="89"/>
        <v>91654.376194349592</v>
      </c>
      <c r="J219" s="340">
        <f t="shared" si="90"/>
        <v>1.5707854162411234</v>
      </c>
      <c r="K219" s="348">
        <f t="shared" si="106"/>
        <v>2.3305807051054956</v>
      </c>
      <c r="L219" s="349">
        <f t="shared" si="107"/>
        <v>1.1273249675112027</v>
      </c>
      <c r="M219" s="337">
        <f t="shared" si="91"/>
        <v>1.0000773707214301</v>
      </c>
      <c r="N219" s="340">
        <f t="shared" si="92"/>
        <v>1.2439110356903779E-2</v>
      </c>
      <c r="O219" s="341">
        <f t="shared" si="93"/>
        <v>1.0000311480000597</v>
      </c>
      <c r="P219" s="342">
        <f t="shared" si="94"/>
        <v>1.8792236086759815E-2</v>
      </c>
      <c r="Q219" s="343">
        <f t="shared" si="95"/>
        <v>0.35764492959285343</v>
      </c>
      <c r="R219" s="344">
        <f t="shared" si="96"/>
        <v>-38.665470909199435</v>
      </c>
      <c r="S219" s="346">
        <f t="shared" si="97"/>
        <v>141.33452909080057</v>
      </c>
      <c r="U219" s="319">
        <f t="shared" si="103"/>
        <v>1000000000</v>
      </c>
      <c r="V219" s="319">
        <f t="shared" si="104"/>
        <v>160332575.0625</v>
      </c>
      <c r="X219" s="345">
        <f t="shared" si="98"/>
        <v>5.8127712067278487</v>
      </c>
      <c r="Y219" s="346">
        <f t="shared" si="99"/>
        <v>-26.12112064739787</v>
      </c>
      <c r="AA219" s="345">
        <f t="shared" si="100"/>
        <v>32.762840736211267</v>
      </c>
      <c r="AB219" s="346">
        <f t="shared" si="101"/>
        <v>-12.544350261801561</v>
      </c>
      <c r="AD219">
        <f t="shared" si="105"/>
        <v>0</v>
      </c>
      <c r="AE219">
        <f t="shared" si="108"/>
        <v>0</v>
      </c>
    </row>
    <row r="220" spans="1:31" x14ac:dyDescent="0.2">
      <c r="A220" s="347">
        <v>12735.5</v>
      </c>
      <c r="B220" s="364">
        <f t="shared" si="102"/>
        <v>12.7355</v>
      </c>
      <c r="C220" s="337">
        <f t="shared" si="83"/>
        <v>1.0207603068769386</v>
      </c>
      <c r="D220" s="338">
        <f t="shared" si="84"/>
        <v>0.20202672102634808</v>
      </c>
      <c r="E220" s="338">
        <f t="shared" si="85"/>
        <v>1.0000002828898635</v>
      </c>
      <c r="F220" s="339">
        <f t="shared" si="86"/>
        <v>7.5218321819193947E-4</v>
      </c>
      <c r="G220" s="338">
        <f t="shared" si="87"/>
        <v>1</v>
      </c>
      <c r="H220" s="339">
        <f t="shared" si="88"/>
        <v>0</v>
      </c>
      <c r="I220" s="337">
        <f t="shared" si="89"/>
        <v>92184.588680711749</v>
      </c>
      <c r="J220" s="340">
        <f t="shared" si="90"/>
        <v>1.5707854789946913</v>
      </c>
      <c r="K220" s="348">
        <f t="shared" si="106"/>
        <v>2.3415865631231338</v>
      </c>
      <c r="L220" s="349">
        <f t="shared" si="107"/>
        <v>1.1295565006124177</v>
      </c>
      <c r="M220" s="337">
        <f t="shared" si="91"/>
        <v>1.0000782684411325</v>
      </c>
      <c r="N220" s="340">
        <f t="shared" si="92"/>
        <v>1.2511062026546621E-2</v>
      </c>
      <c r="O220" s="341">
        <f t="shared" si="93"/>
        <v>1.0000315095377268</v>
      </c>
      <c r="P220" s="342">
        <f t="shared" si="94"/>
        <v>1.8900953592056763E-2</v>
      </c>
      <c r="Q220" s="343">
        <f t="shared" si="95"/>
        <v>0.34644698990335854</v>
      </c>
      <c r="R220" s="344">
        <f t="shared" si="96"/>
        <v>-38.612515765093207</v>
      </c>
      <c r="S220" s="346">
        <f t="shared" si="97"/>
        <v>141.38748423490679</v>
      </c>
      <c r="U220" s="319">
        <f t="shared" si="103"/>
        <v>1000000000</v>
      </c>
      <c r="V220" s="319">
        <f t="shared" si="104"/>
        <v>162192960.25</v>
      </c>
      <c r="X220" s="345">
        <f t="shared" si="98"/>
        <v>5.8035824971949186</v>
      </c>
      <c r="Y220" s="346">
        <f t="shared" si="99"/>
        <v>-25.99738934122718</v>
      </c>
      <c r="AA220" s="345">
        <f t="shared" si="100"/>
        <v>32.760831506054707</v>
      </c>
      <c r="AB220" s="346">
        <f t="shared" si="101"/>
        <v>-12.615126423866036</v>
      </c>
      <c r="AD220">
        <f t="shared" si="105"/>
        <v>0</v>
      </c>
      <c r="AE220">
        <f t="shared" si="108"/>
        <v>0</v>
      </c>
    </row>
    <row r="221" spans="1:31" x14ac:dyDescent="0.2">
      <c r="A221" s="347">
        <v>12808.75</v>
      </c>
      <c r="B221" s="364">
        <f t="shared" si="102"/>
        <v>12.80875</v>
      </c>
      <c r="C221" s="337">
        <f t="shared" si="83"/>
        <v>1.0209973422520493</v>
      </c>
      <c r="D221" s="338">
        <f t="shared" si="84"/>
        <v>0.20315708321514722</v>
      </c>
      <c r="E221" s="338">
        <f t="shared" si="85"/>
        <v>1.0000002861533823</v>
      </c>
      <c r="F221" s="339">
        <f t="shared" si="86"/>
        <v>7.5650950296842444E-4</v>
      </c>
      <c r="G221" s="338">
        <f t="shared" si="87"/>
        <v>1</v>
      </c>
      <c r="H221" s="339">
        <f t="shared" si="88"/>
        <v>0</v>
      </c>
      <c r="I221" s="337">
        <f t="shared" si="89"/>
        <v>92714.801167074256</v>
      </c>
      <c r="J221" s="340">
        <f t="shared" si="90"/>
        <v>1.5707855410305156</v>
      </c>
      <c r="K221" s="348">
        <f t="shared" si="106"/>
        <v>2.3526039725000141</v>
      </c>
      <c r="L221" s="349">
        <f t="shared" si="107"/>
        <v>1.1317671437843468</v>
      </c>
      <c r="M221" s="337">
        <f t="shared" si="91"/>
        <v>1.0000791713382735</v>
      </c>
      <c r="N221" s="340">
        <f t="shared" si="92"/>
        <v>1.2583013566642331E-2</v>
      </c>
      <c r="O221" s="341">
        <f t="shared" si="93"/>
        <v>1.0000318731635653</v>
      </c>
      <c r="P221" s="342">
        <f t="shared" si="94"/>
        <v>1.9009671202472864E-2</v>
      </c>
      <c r="Q221" s="343">
        <f t="shared" si="95"/>
        <v>0.3353764562274465</v>
      </c>
      <c r="R221" s="344">
        <f t="shared" si="96"/>
        <v>-38.560727480357215</v>
      </c>
      <c r="S221" s="346">
        <f t="shared" si="97"/>
        <v>141.43927251964277</v>
      </c>
      <c r="U221" s="319">
        <f t="shared" si="103"/>
        <v>1000000000</v>
      </c>
      <c r="V221" s="319">
        <f t="shared" si="104"/>
        <v>164064076.5625</v>
      </c>
      <c r="X221" s="345">
        <f t="shared" si="98"/>
        <v>5.7945318491170363</v>
      </c>
      <c r="Y221" s="346">
        <f t="shared" si="99"/>
        <v>-25.874854891294063</v>
      </c>
      <c r="AA221" s="345">
        <f t="shared" si="100"/>
        <v>32.758811620456669</v>
      </c>
      <c r="AB221" s="346">
        <f t="shared" si="101"/>
        <v>-12.685872589063159</v>
      </c>
      <c r="AD221">
        <f t="shared" si="105"/>
        <v>0</v>
      </c>
      <c r="AE221">
        <f t="shared" si="108"/>
        <v>0</v>
      </c>
    </row>
    <row r="222" spans="1:31" x14ac:dyDescent="0.2">
      <c r="A222" s="347">
        <v>12882</v>
      </c>
      <c r="B222" s="364">
        <f t="shared" si="102"/>
        <v>12.882</v>
      </c>
      <c r="C222" s="337">
        <f t="shared" si="83"/>
        <v>1.0212356815679744</v>
      </c>
      <c r="D222" s="338">
        <f t="shared" si="84"/>
        <v>0.20428691923176623</v>
      </c>
      <c r="E222" s="338">
        <f t="shared" si="85"/>
        <v>1.0000002894356177</v>
      </c>
      <c r="F222" s="339">
        <f t="shared" si="86"/>
        <v>7.6083578771659059E-4</v>
      </c>
      <c r="G222" s="338">
        <f t="shared" si="87"/>
        <v>1</v>
      </c>
      <c r="H222" s="339">
        <f t="shared" si="88"/>
        <v>0</v>
      </c>
      <c r="I222" s="337">
        <f t="shared" si="89"/>
        <v>93245.013653437127</v>
      </c>
      <c r="J222" s="340">
        <f t="shared" si="90"/>
        <v>1.5707856023608402</v>
      </c>
      <c r="K222" s="348">
        <f t="shared" si="106"/>
        <v>2.3636327717059058</v>
      </c>
      <c r="L222" s="349">
        <f t="shared" si="107"/>
        <v>1.1339571676877764</v>
      </c>
      <c r="M222" s="337">
        <f t="shared" si="91"/>
        <v>1.0000800794128395</v>
      </c>
      <c r="N222" s="340">
        <f t="shared" si="92"/>
        <v>1.2654964976446272E-2</v>
      </c>
      <c r="O222" s="341">
        <f t="shared" si="93"/>
        <v>1.000032238877623</v>
      </c>
      <c r="P222" s="342">
        <f t="shared" si="94"/>
        <v>1.911838891861195E-2</v>
      </c>
      <c r="Q222" s="343">
        <f t="shared" si="95"/>
        <v>0.32443066785351393</v>
      </c>
      <c r="R222" s="344">
        <f t="shared" si="96"/>
        <v>-38.510090403410786</v>
      </c>
      <c r="S222" s="346">
        <f t="shared" si="97"/>
        <v>141.4899095965892</v>
      </c>
      <c r="U222" s="319">
        <f t="shared" si="103"/>
        <v>1000000000</v>
      </c>
      <c r="V222" s="319">
        <f t="shared" si="104"/>
        <v>165945924</v>
      </c>
      <c r="X222" s="345">
        <f t="shared" si="98"/>
        <v>5.7856165865394047</v>
      </c>
      <c r="Y222" s="346">
        <f t="shared" si="99"/>
        <v>-25.753501790536653</v>
      </c>
      <c r="AA222" s="345">
        <f t="shared" si="100"/>
        <v>32.756781094660369</v>
      </c>
      <c r="AB222" s="346">
        <f t="shared" si="101"/>
        <v>-12.756588612874136</v>
      </c>
      <c r="AD222">
        <f t="shared" si="105"/>
        <v>0</v>
      </c>
      <c r="AE222">
        <f t="shared" si="108"/>
        <v>0</v>
      </c>
    </row>
    <row r="223" spans="1:31" x14ac:dyDescent="0.2">
      <c r="A223" s="347">
        <v>12957.25</v>
      </c>
      <c r="B223" s="364">
        <f t="shared" si="102"/>
        <v>12.95725</v>
      </c>
      <c r="C223" s="337">
        <f t="shared" si="83"/>
        <v>1.021481885313446</v>
      </c>
      <c r="D223" s="338">
        <f t="shared" si="84"/>
        <v>0.20544705345237785</v>
      </c>
      <c r="E223" s="338">
        <f t="shared" si="85"/>
        <v>1.0000002928269609</v>
      </c>
      <c r="F223" s="339">
        <f t="shared" si="86"/>
        <v>7.6528019625074712E-4</v>
      </c>
      <c r="G223" s="338">
        <f t="shared" si="87"/>
        <v>1</v>
      </c>
      <c r="H223" s="339">
        <f t="shared" si="88"/>
        <v>0</v>
      </c>
      <c r="I223" s="337">
        <f t="shared" si="89"/>
        <v>93789.702931236869</v>
      </c>
      <c r="J223" s="340">
        <f t="shared" si="90"/>
        <v>1.5707856646436287</v>
      </c>
      <c r="K223" s="348">
        <f t="shared" si="106"/>
        <v>2.3749743923498592</v>
      </c>
      <c r="L223" s="349">
        <f t="shared" si="107"/>
        <v>1.1361857959687738</v>
      </c>
      <c r="M223" s="337">
        <f t="shared" si="91"/>
        <v>1.0000810176726342</v>
      </c>
      <c r="N223" s="340">
        <f t="shared" si="92"/>
        <v>1.2728880793403627E-2</v>
      </c>
      <c r="O223" s="341">
        <f t="shared" si="93"/>
        <v>1.0000326167516191</v>
      </c>
      <c r="P223" s="342">
        <f t="shared" si="94"/>
        <v>1.9230075147283705E-2</v>
      </c>
      <c r="Q223" s="343">
        <f t="shared" si="95"/>
        <v>0.31331318962883775</v>
      </c>
      <c r="R223" s="344">
        <f t="shared" si="96"/>
        <v>-38.459253339830823</v>
      </c>
      <c r="S223" s="346">
        <f t="shared" si="97"/>
        <v>141.54074666016919</v>
      </c>
      <c r="U223" s="319">
        <f t="shared" si="103"/>
        <v>1000000000</v>
      </c>
      <c r="V223" s="319">
        <f t="shared" si="104"/>
        <v>167890327.5625</v>
      </c>
      <c r="X223" s="345">
        <f t="shared" si="98"/>
        <v>5.776596138943983</v>
      </c>
      <c r="Y223" s="346">
        <f t="shared" si="99"/>
        <v>-25.630049428682781</v>
      </c>
      <c r="AA223" s="345">
        <f t="shared" si="100"/>
        <v>32.754684064031117</v>
      </c>
      <c r="AB223" s="346">
        <f t="shared" si="101"/>
        <v>-12.829203911148042</v>
      </c>
      <c r="AD223">
        <f t="shared" si="105"/>
        <v>0</v>
      </c>
      <c r="AE223">
        <f t="shared" si="108"/>
        <v>0</v>
      </c>
    </row>
    <row r="224" spans="1:31" x14ac:dyDescent="0.2">
      <c r="A224" s="347">
        <v>13032.5</v>
      </c>
      <c r="B224" s="364">
        <f t="shared" si="102"/>
        <v>13.032500000000001</v>
      </c>
      <c r="C224" s="337">
        <f t="shared" si="83"/>
        <v>1.021729463219387</v>
      </c>
      <c r="D224" s="338">
        <f t="shared" si="84"/>
        <v>0.20660662700280352</v>
      </c>
      <c r="E224" s="338">
        <f t="shared" si="85"/>
        <v>1.0000002962380568</v>
      </c>
      <c r="F224" s="339">
        <f t="shared" si="86"/>
        <v>7.6972460475467077E-4</v>
      </c>
      <c r="G224" s="338">
        <f t="shared" si="87"/>
        <v>1</v>
      </c>
      <c r="H224" s="339">
        <f t="shared" si="88"/>
        <v>0</v>
      </c>
      <c r="I224" s="337">
        <f t="shared" si="89"/>
        <v>94334.392209036989</v>
      </c>
      <c r="J224" s="340">
        <f t="shared" si="90"/>
        <v>1.5707857262071725</v>
      </c>
      <c r="K224" s="348">
        <f t="shared" si="106"/>
        <v>2.3863276968179217</v>
      </c>
      <c r="L224" s="349">
        <f t="shared" si="107"/>
        <v>1.1383932290742076</v>
      </c>
      <c r="M224" s="337">
        <f t="shared" si="91"/>
        <v>1.0000819613964096</v>
      </c>
      <c r="N224" s="340">
        <f t="shared" si="92"/>
        <v>1.280279647126403E-2</v>
      </c>
      <c r="O224" s="341">
        <f t="shared" si="93"/>
        <v>1.0000329968295254</v>
      </c>
      <c r="P224" s="342">
        <f t="shared" si="94"/>
        <v>1.9341761488822377E-2</v>
      </c>
      <c r="Q224" s="343">
        <f t="shared" si="95"/>
        <v>0.30232187056386189</v>
      </c>
      <c r="R224" s="344">
        <f t="shared" si="96"/>
        <v>-38.409598503611853</v>
      </c>
      <c r="S224" s="346">
        <f t="shared" si="97"/>
        <v>141.59040149638815</v>
      </c>
      <c r="U224" s="319">
        <f t="shared" si="103"/>
        <v>1000000000</v>
      </c>
      <c r="V224" s="319">
        <f t="shared" si="104"/>
        <v>169846056.25</v>
      </c>
      <c r="X224" s="345">
        <f t="shared" si="98"/>
        <v>5.7677130468547428</v>
      </c>
      <c r="Y224" s="346">
        <f t="shared" si="99"/>
        <v>-25.507811411756773</v>
      </c>
      <c r="AA224" s="345">
        <f t="shared" si="100"/>
        <v>32.752575837055382</v>
      </c>
      <c r="AB224" s="346">
        <f t="shared" si="101"/>
        <v>-12.901787091855088</v>
      </c>
      <c r="AD224">
        <f t="shared" si="105"/>
        <v>0</v>
      </c>
      <c r="AE224">
        <f t="shared" si="108"/>
        <v>0</v>
      </c>
    </row>
    <row r="225" spans="1:31" x14ac:dyDescent="0.2">
      <c r="A225" s="347">
        <v>13107.75</v>
      </c>
      <c r="B225" s="364">
        <f t="shared" si="102"/>
        <v>13.107749999999999</v>
      </c>
      <c r="C225" s="337">
        <f t="shared" si="83"/>
        <v>1.0219784142871109</v>
      </c>
      <c r="D225" s="338">
        <f t="shared" si="84"/>
        <v>0.20776563717330387</v>
      </c>
      <c r="E225" s="338">
        <f t="shared" si="85"/>
        <v>1.0000002996689052</v>
      </c>
      <c r="F225" s="339">
        <f t="shared" si="86"/>
        <v>7.7416901322818613E-4</v>
      </c>
      <c r="G225" s="338">
        <f t="shared" si="87"/>
        <v>1</v>
      </c>
      <c r="H225" s="339">
        <f t="shared" si="88"/>
        <v>0</v>
      </c>
      <c r="I225" s="337">
        <f t="shared" si="89"/>
        <v>94879.081486837473</v>
      </c>
      <c r="J225" s="340">
        <f t="shared" si="90"/>
        <v>1.5707857870638584</v>
      </c>
      <c r="K225" s="348">
        <f t="shared" si="106"/>
        <v>2.3976925191380096</v>
      </c>
      <c r="L225" s="349">
        <f t="shared" si="107"/>
        <v>1.1405797467265271</v>
      </c>
      <c r="M225" s="337">
        <f t="shared" si="91"/>
        <v>1.0000829105841498</v>
      </c>
      <c r="N225" s="340">
        <f t="shared" si="92"/>
        <v>1.2876712009220196E-2</v>
      </c>
      <c r="O225" s="341">
        <f t="shared" si="93"/>
        <v>1.0000333791113938</v>
      </c>
      <c r="P225" s="342">
        <f t="shared" si="94"/>
        <v>1.9453447943882575E-2</v>
      </c>
      <c r="Q225" s="343">
        <f t="shared" si="95"/>
        <v>0.29145402706346196</v>
      </c>
      <c r="R225" s="344">
        <f t="shared" si="96"/>
        <v>-38.361109713282453</v>
      </c>
      <c r="S225" s="346">
        <f t="shared" si="97"/>
        <v>141.63889028671755</v>
      </c>
      <c r="U225" s="319">
        <f t="shared" si="103"/>
        <v>1000000000</v>
      </c>
      <c r="V225" s="319">
        <f t="shared" si="104"/>
        <v>171813110.0625</v>
      </c>
      <c r="X225" s="345">
        <f t="shared" si="98"/>
        <v>5.7589646099421978</v>
      </c>
      <c r="Y225" s="346">
        <f t="shared" si="99"/>
        <v>-25.386771713506288</v>
      </c>
      <c r="AA225" s="345">
        <f t="shared" si="100"/>
        <v>32.750456430467523</v>
      </c>
      <c r="AB225" s="346">
        <f t="shared" si="101"/>
        <v>-12.974337999776159</v>
      </c>
      <c r="AD225">
        <f t="shared" si="105"/>
        <v>0</v>
      </c>
      <c r="AE225">
        <f t="shared" si="108"/>
        <v>0</v>
      </c>
    </row>
    <row r="226" spans="1:31" x14ac:dyDescent="0.2">
      <c r="A226" s="347">
        <v>13183</v>
      </c>
      <c r="B226" s="364">
        <f t="shared" si="102"/>
        <v>13.183</v>
      </c>
      <c r="C226" s="337">
        <f t="shared" si="83"/>
        <v>1.022228737513369</v>
      </c>
      <c r="D226" s="338">
        <f t="shared" si="84"/>
        <v>0.20892408126282619</v>
      </c>
      <c r="E226" s="338">
        <f t="shared" si="85"/>
        <v>1.0000003031195068</v>
      </c>
      <c r="F226" s="339">
        <f t="shared" si="86"/>
        <v>7.7861342167111745E-4</v>
      </c>
      <c r="G226" s="338">
        <f t="shared" si="87"/>
        <v>1</v>
      </c>
      <c r="H226" s="339">
        <f t="shared" si="88"/>
        <v>0</v>
      </c>
      <c r="I226" s="337">
        <f t="shared" si="89"/>
        <v>95423.770764638277</v>
      </c>
      <c r="J226" s="340">
        <f t="shared" si="90"/>
        <v>1.5707858472257914</v>
      </c>
      <c r="K226" s="348">
        <f t="shared" si="106"/>
        <v>2.4090686963031431</v>
      </c>
      <c r="L226" s="349">
        <f t="shared" si="107"/>
        <v>1.1427456241725278</v>
      </c>
      <c r="M226" s="337">
        <f t="shared" si="91"/>
        <v>1.0000838652358393</v>
      </c>
      <c r="N226" s="340">
        <f t="shared" si="92"/>
        <v>1.2950627406464845E-2</v>
      </c>
      <c r="O226" s="341">
        <f t="shared" si="93"/>
        <v>1.0000337635972771</v>
      </c>
      <c r="P226" s="342">
        <f t="shared" si="94"/>
        <v>1.9565134513118879E-2</v>
      </c>
      <c r="Q226" s="343">
        <f t="shared" si="95"/>
        <v>0.28070703976458022</v>
      </c>
      <c r="R226" s="344">
        <f t="shared" si="96"/>
        <v>-38.313771044288764</v>
      </c>
      <c r="S226" s="346">
        <f t="shared" si="97"/>
        <v>141.68622895571124</v>
      </c>
      <c r="U226" s="319">
        <f t="shared" si="103"/>
        <v>1000000000</v>
      </c>
      <c r="V226" s="319">
        <f t="shared" si="104"/>
        <v>173791489</v>
      </c>
      <c r="X226" s="345">
        <f t="shared" si="98"/>
        <v>5.7503481920394428</v>
      </c>
      <c r="Y226" s="346">
        <f t="shared" si="99"/>
        <v>-25.266914564098915</v>
      </c>
      <c r="AA226" s="345">
        <f t="shared" si="100"/>
        <v>32.7483258610714</v>
      </c>
      <c r="AB226" s="346">
        <f t="shared" si="101"/>
        <v>-13.046856480189849</v>
      </c>
      <c r="AD226">
        <f t="shared" si="105"/>
        <v>0</v>
      </c>
      <c r="AE226">
        <f t="shared" si="108"/>
        <v>0</v>
      </c>
    </row>
    <row r="227" spans="1:31" x14ac:dyDescent="0.2">
      <c r="A227" s="347">
        <v>13259.75</v>
      </c>
      <c r="B227" s="364">
        <f t="shared" si="102"/>
        <v>13.25975</v>
      </c>
      <c r="C227" s="337">
        <f t="shared" si="83"/>
        <v>1.022485462985472</v>
      </c>
      <c r="D227" s="338">
        <f t="shared" si="84"/>
        <v>0.21010503134990047</v>
      </c>
      <c r="E227" s="338">
        <f t="shared" si="85"/>
        <v>1.0000003066592382</v>
      </c>
      <c r="F227" s="339">
        <f t="shared" si="86"/>
        <v>7.8314642294168967E-4</v>
      </c>
      <c r="G227" s="338">
        <f t="shared" si="87"/>
        <v>1</v>
      </c>
      <c r="H227" s="339">
        <f t="shared" si="88"/>
        <v>0</v>
      </c>
      <c r="I227" s="337">
        <f t="shared" si="89"/>
        <v>95979.317636016873</v>
      </c>
      <c r="J227" s="340">
        <f t="shared" si="90"/>
        <v>1.570785907883566</v>
      </c>
      <c r="K227" s="348">
        <f t="shared" si="106"/>
        <v>2.4206831717301678</v>
      </c>
      <c r="L227" s="349">
        <f t="shared" si="107"/>
        <v>1.1449336946324602</v>
      </c>
      <c r="M227" s="337">
        <f t="shared" si="91"/>
        <v>1.000084844545523</v>
      </c>
      <c r="N227" s="340">
        <f t="shared" si="92"/>
        <v>1.302601605454843E-2</v>
      </c>
      <c r="O227" s="341">
        <f t="shared" si="93"/>
        <v>1.000034158017739</v>
      </c>
      <c r="P227" s="342">
        <f t="shared" si="94"/>
        <v>1.9679047510996868E-2</v>
      </c>
      <c r="Q227" s="343">
        <f t="shared" si="95"/>
        <v>0.26986766961139508</v>
      </c>
      <c r="R227" s="344">
        <f t="shared" si="96"/>
        <v>-38.266657236370136</v>
      </c>
      <c r="S227" s="346">
        <f t="shared" si="97"/>
        <v>141.73334276362988</v>
      </c>
      <c r="U227" s="319">
        <f t="shared" si="103"/>
        <v>1000000000</v>
      </c>
      <c r="V227" s="319">
        <f t="shared" si="104"/>
        <v>175820970.0625</v>
      </c>
      <c r="X227" s="345">
        <f t="shared" si="98"/>
        <v>5.7416933424052914</v>
      </c>
      <c r="Y227" s="346">
        <f t="shared" si="99"/>
        <v>-25.145870288122087</v>
      </c>
      <c r="AA227" s="345">
        <f t="shared" si="100"/>
        <v>32.746141340552363</v>
      </c>
      <c r="AB227" s="346">
        <f t="shared" si="101"/>
        <v>-13.120786948248051</v>
      </c>
      <c r="AD227">
        <f t="shared" si="105"/>
        <v>0</v>
      </c>
      <c r="AE227">
        <f t="shared" si="108"/>
        <v>0</v>
      </c>
    </row>
    <row r="228" spans="1:31" x14ac:dyDescent="0.2">
      <c r="A228" s="347">
        <v>13336.5</v>
      </c>
      <c r="B228" s="364">
        <f t="shared" si="102"/>
        <v>13.336499999999999</v>
      </c>
      <c r="C228" s="337">
        <f t="shared" si="83"/>
        <v>1.0227436137428196</v>
      </c>
      <c r="D228" s="338">
        <f t="shared" si="84"/>
        <v>0.21128538691513929</v>
      </c>
      <c r="E228" s="338">
        <f t="shared" si="85"/>
        <v>1.0000003102195179</v>
      </c>
      <c r="F228" s="339">
        <f t="shared" si="86"/>
        <v>7.8767942418007768E-4</v>
      </c>
      <c r="G228" s="338">
        <f t="shared" si="87"/>
        <v>1</v>
      </c>
      <c r="H228" s="339">
        <f t="shared" si="88"/>
        <v>0</v>
      </c>
      <c r="I228" s="337">
        <f t="shared" si="89"/>
        <v>96534.864507395818</v>
      </c>
      <c r="J228" s="340">
        <f t="shared" si="90"/>
        <v>1.5707859678431839</v>
      </c>
      <c r="K228" s="348">
        <f t="shared" si="106"/>
        <v>2.432309125833882</v>
      </c>
      <c r="L228" s="349">
        <f t="shared" si="107"/>
        <v>1.147100858301892</v>
      </c>
      <c r="M228" s="337">
        <f t="shared" si="91"/>
        <v>1.0000858295391264</v>
      </c>
      <c r="N228" s="340">
        <f t="shared" si="92"/>
        <v>1.3101404554558552E-2</v>
      </c>
      <c r="O228" s="341">
        <f t="shared" si="93"/>
        <v>1.0000345547310703</v>
      </c>
      <c r="P228" s="342">
        <f t="shared" si="94"/>
        <v>1.9792960629023613E-2</v>
      </c>
      <c r="Q228" s="343">
        <f t="shared" si="95"/>
        <v>0.25914871442925025</v>
      </c>
      <c r="R228" s="344">
        <f t="shared" si="96"/>
        <v>-38.220707194120145</v>
      </c>
      <c r="S228" s="346">
        <f t="shared" si="97"/>
        <v>141.77929280587986</v>
      </c>
      <c r="U228" s="319">
        <f t="shared" si="103"/>
        <v>1000000000</v>
      </c>
      <c r="V228" s="319">
        <f t="shared" si="104"/>
        <v>177862232.25</v>
      </c>
      <c r="X228" s="345">
        <f t="shared" si="98"/>
        <v>5.7331704844865374</v>
      </c>
      <c r="Y228" s="346">
        <f t="shared" si="99"/>
        <v>-25.026023834520071</v>
      </c>
      <c r="AA228" s="345">
        <f t="shared" si="100"/>
        <v>32.743945243288969</v>
      </c>
      <c r="AB228" s="346">
        <f t="shared" si="101"/>
        <v>-13.194683359600075</v>
      </c>
      <c r="AD228">
        <f t="shared" si="105"/>
        <v>0</v>
      </c>
      <c r="AE228">
        <f t="shared" si="108"/>
        <v>0</v>
      </c>
    </row>
    <row r="229" spans="1:31" x14ac:dyDescent="0.2">
      <c r="A229" s="347">
        <v>13413.25</v>
      </c>
      <c r="B229" s="364">
        <f t="shared" si="102"/>
        <v>13.41325</v>
      </c>
      <c r="C229" s="337">
        <f t="shared" si="83"/>
        <v>1.0230031887064162</v>
      </c>
      <c r="D229" s="338">
        <f t="shared" si="84"/>
        <v>0.21246514512083289</v>
      </c>
      <c r="E229" s="338">
        <f t="shared" si="85"/>
        <v>1.0000003138003455</v>
      </c>
      <c r="F229" s="339">
        <f t="shared" si="86"/>
        <v>7.9221242538609488E-4</v>
      </c>
      <c r="G229" s="338">
        <f t="shared" si="87"/>
        <v>1</v>
      </c>
      <c r="H229" s="339">
        <f t="shared" si="88"/>
        <v>0</v>
      </c>
      <c r="I229" s="337">
        <f t="shared" si="89"/>
        <v>97090.411378775098</v>
      </c>
      <c r="J229" s="340">
        <f t="shared" si="90"/>
        <v>1.5707860271166296</v>
      </c>
      <c r="K229" s="348">
        <f t="shared" si="106"/>
        <v>2.4439463948006712</v>
      </c>
      <c r="L229" s="349">
        <f t="shared" si="107"/>
        <v>1.1492473933316028</v>
      </c>
      <c r="M229" s="337">
        <f t="shared" si="91"/>
        <v>1.000086820216632</v>
      </c>
      <c r="N229" s="340">
        <f t="shared" si="92"/>
        <v>1.3176792905638725E-2</v>
      </c>
      <c r="O229" s="341">
        <f t="shared" si="93"/>
        <v>1.0000349537373276</v>
      </c>
      <c r="P229" s="342">
        <f t="shared" si="94"/>
        <v>1.9906873867893599E-2</v>
      </c>
      <c r="Q229" s="343">
        <f t="shared" si="95"/>
        <v>0.24854759032297363</v>
      </c>
      <c r="R229" s="344">
        <f t="shared" si="96"/>
        <v>-38.175904818761609</v>
      </c>
      <c r="S229" s="346">
        <f t="shared" si="97"/>
        <v>141.82409518123839</v>
      </c>
      <c r="U229" s="319">
        <f t="shared" si="103"/>
        <v>1000000000</v>
      </c>
      <c r="V229" s="319">
        <f t="shared" si="104"/>
        <v>179915275.5625</v>
      </c>
      <c r="X229" s="345">
        <f t="shared" si="98"/>
        <v>5.7247770163384013</v>
      </c>
      <c r="Y229" s="346">
        <f t="shared" si="99"/>
        <v>-24.907359267064688</v>
      </c>
      <c r="AA229" s="345">
        <f t="shared" si="100"/>
        <v>32.741737587330832</v>
      </c>
      <c r="AB229" s="346">
        <f t="shared" si="101"/>
        <v>-13.26854555169693</v>
      </c>
      <c r="AD229">
        <f t="shared" si="105"/>
        <v>0</v>
      </c>
      <c r="AE229">
        <f t="shared" si="108"/>
        <v>0</v>
      </c>
    </row>
    <row r="230" spans="1:31" x14ac:dyDescent="0.2">
      <c r="A230" s="347">
        <v>13490</v>
      </c>
      <c r="B230" s="364">
        <f t="shared" si="102"/>
        <v>13.49</v>
      </c>
      <c r="C230" s="337">
        <f t="shared" si="83"/>
        <v>1.0232641867924122</v>
      </c>
      <c r="D230" s="338">
        <f t="shared" si="84"/>
        <v>0.21364430313879434</v>
      </c>
      <c r="E230" s="338">
        <f t="shared" si="85"/>
        <v>1.0000003174017214</v>
      </c>
      <c r="F230" s="339">
        <f t="shared" si="86"/>
        <v>7.9674542655955533E-4</v>
      </c>
      <c r="G230" s="338">
        <f t="shared" si="87"/>
        <v>1</v>
      </c>
      <c r="H230" s="339">
        <f t="shared" si="88"/>
        <v>0</v>
      </c>
      <c r="I230" s="337">
        <f t="shared" si="89"/>
        <v>97645.958250154741</v>
      </c>
      <c r="J230" s="340">
        <f t="shared" si="90"/>
        <v>1.5707860857156144</v>
      </c>
      <c r="K230" s="348">
        <f t="shared" si="106"/>
        <v>2.4555948177642977</v>
      </c>
      <c r="L230" s="349">
        <f t="shared" si="107"/>
        <v>1.1513735733627048</v>
      </c>
      <c r="M230" s="337">
        <f t="shared" si="91"/>
        <v>1.0000878165780234</v>
      </c>
      <c r="N230" s="340">
        <f t="shared" si="92"/>
        <v>1.3252181106932465E-2</v>
      </c>
      <c r="O230" s="341">
        <f t="shared" si="93"/>
        <v>1.0000353550365677</v>
      </c>
      <c r="P230" s="342">
        <f t="shared" si="94"/>
        <v>2.0020787228301268E-2</v>
      </c>
      <c r="Q230" s="343">
        <f t="shared" si="95"/>
        <v>0.23806177552397711</v>
      </c>
      <c r="R230" s="344">
        <f t="shared" si="96"/>
        <v>-38.132234270432228</v>
      </c>
      <c r="S230" s="346">
        <f t="shared" si="97"/>
        <v>141.86776572956776</v>
      </c>
      <c r="U230" s="319">
        <f t="shared" si="103"/>
        <v>1000000000</v>
      </c>
      <c r="V230" s="319">
        <f t="shared" si="104"/>
        <v>181980100</v>
      </c>
      <c r="X230" s="345">
        <f t="shared" si="98"/>
        <v>5.7165103980693113</v>
      </c>
      <c r="Y230" s="346">
        <f t="shared" si="99"/>
        <v>-24.789860907896998</v>
      </c>
      <c r="AA230" s="345">
        <f t="shared" si="100"/>
        <v>32.739518390800924</v>
      </c>
      <c r="AB230" s="346">
        <f t="shared" si="101"/>
        <v>-13.342373362535238</v>
      </c>
      <c r="AD230">
        <f t="shared" si="105"/>
        <v>0</v>
      </c>
      <c r="AE230">
        <f t="shared" si="108"/>
        <v>0</v>
      </c>
    </row>
    <row r="231" spans="1:31" x14ac:dyDescent="0.2">
      <c r="A231" s="347">
        <v>13568.5</v>
      </c>
      <c r="B231" s="364">
        <f t="shared" si="102"/>
        <v>13.5685</v>
      </c>
      <c r="C231" s="337">
        <f t="shared" si="83"/>
        <v>1.0235326070059485</v>
      </c>
      <c r="D231" s="338">
        <f t="shared" si="84"/>
        <v>0.21484972368670971</v>
      </c>
      <c r="E231" s="338">
        <f t="shared" si="85"/>
        <v>1.0000003211064694</v>
      </c>
      <c r="F231" s="339">
        <f t="shared" si="86"/>
        <v>8.0138178603208793E-4</v>
      </c>
      <c r="G231" s="338">
        <f t="shared" si="87"/>
        <v>1</v>
      </c>
      <c r="H231" s="339">
        <f t="shared" si="88"/>
        <v>0</v>
      </c>
      <c r="I231" s="337">
        <f t="shared" si="89"/>
        <v>98214.172314041731</v>
      </c>
      <c r="J231" s="340">
        <f t="shared" si="90"/>
        <v>1.5707861449649585</v>
      </c>
      <c r="K231" s="348">
        <f t="shared" si="106"/>
        <v>2.4675202136827719</v>
      </c>
      <c r="L231" s="349">
        <f t="shared" si="107"/>
        <v>1.1535274571785896</v>
      </c>
      <c r="M231" s="337">
        <f t="shared" si="91"/>
        <v>1.0000888415374982</v>
      </c>
      <c r="N231" s="340">
        <f t="shared" si="92"/>
        <v>1.3329288101600294E-2</v>
      </c>
      <c r="O231" s="341">
        <f t="shared" si="93"/>
        <v>1.000035767858017</v>
      </c>
      <c r="P231" s="342">
        <f t="shared" si="94"/>
        <v>2.0137298088197485E-2</v>
      </c>
      <c r="Q231" s="343">
        <f t="shared" si="95"/>
        <v>0.22745358838401908</v>
      </c>
      <c r="R231" s="344">
        <f t="shared" si="96"/>
        <v>-38.088722564916857</v>
      </c>
      <c r="S231" s="346">
        <f t="shared" si="97"/>
        <v>141.91127743508315</v>
      </c>
      <c r="U231" s="319">
        <f t="shared" si="103"/>
        <v>1000000000</v>
      </c>
      <c r="V231" s="319">
        <f t="shared" si="104"/>
        <v>184104192.25</v>
      </c>
      <c r="X231" s="345">
        <f t="shared" si="98"/>
        <v>5.7081839273470045</v>
      </c>
      <c r="Y231" s="346">
        <f t="shared" si="99"/>
        <v>-24.670873755652071</v>
      </c>
      <c r="AA231" s="345">
        <f t="shared" si="100"/>
        <v>32.737236674383283</v>
      </c>
      <c r="AB231" s="346">
        <f t="shared" si="101"/>
        <v>-13.417848809264788</v>
      </c>
      <c r="AD231">
        <f t="shared" si="105"/>
        <v>0</v>
      </c>
      <c r="AE231">
        <f t="shared" si="108"/>
        <v>0</v>
      </c>
    </row>
    <row r="232" spans="1:31" x14ac:dyDescent="0.2">
      <c r="A232" s="347">
        <v>13647</v>
      </c>
      <c r="B232" s="364">
        <f t="shared" si="102"/>
        <v>13.647</v>
      </c>
      <c r="C232" s="337">
        <f t="shared" si="83"/>
        <v>1.0238025136708662</v>
      </c>
      <c r="D232" s="338">
        <f t="shared" si="84"/>
        <v>0.21605451041063442</v>
      </c>
      <c r="E232" s="338">
        <f t="shared" si="85"/>
        <v>1.0000003248327134</v>
      </c>
      <c r="F232" s="339">
        <f t="shared" si="86"/>
        <v>8.0601814547016785E-4</v>
      </c>
      <c r="G232" s="338">
        <f t="shared" si="87"/>
        <v>1</v>
      </c>
      <c r="H232" s="339">
        <f t="shared" si="88"/>
        <v>0</v>
      </c>
      <c r="I232" s="337">
        <f t="shared" si="89"/>
        <v>98782.386377929055</v>
      </c>
      <c r="J232" s="340">
        <f t="shared" si="90"/>
        <v>1.5707862035326767</v>
      </c>
      <c r="K232" s="348">
        <f t="shared" si="106"/>
        <v>2.4794569468121725</v>
      </c>
      <c r="L232" s="349">
        <f t="shared" si="107"/>
        <v>1.1556606121280304</v>
      </c>
      <c r="M232" s="337">
        <f t="shared" si="91"/>
        <v>1.0000898724429774</v>
      </c>
      <c r="N232" s="340">
        <f t="shared" si="92"/>
        <v>1.3406394937760798E-2</v>
      </c>
      <c r="O232" s="341">
        <f t="shared" si="93"/>
        <v>1.0000361830783286</v>
      </c>
      <c r="P232" s="342">
        <f t="shared" si="94"/>
        <v>2.0253809076706483E-2</v>
      </c>
      <c r="Q232" s="343">
        <f t="shared" si="95"/>
        <v>0.21696088420437343</v>
      </c>
      <c r="R232" s="344">
        <f t="shared" si="96"/>
        <v>-38.046362179759356</v>
      </c>
      <c r="S232" s="346">
        <f t="shared" si="97"/>
        <v>141.95363782024066</v>
      </c>
      <c r="U232" s="319">
        <f t="shared" si="103"/>
        <v>1000000000</v>
      </c>
      <c r="V232" s="319">
        <f t="shared" si="104"/>
        <v>186240609</v>
      </c>
      <c r="X232" s="345">
        <f t="shared" si="98"/>
        <v>5.6999849738538764</v>
      </c>
      <c r="Y232" s="346">
        <f t="shared" si="99"/>
        <v>-24.553074231833737</v>
      </c>
      <c r="AA232" s="345">
        <f t="shared" si="100"/>
        <v>32.734942923696757</v>
      </c>
      <c r="AB232" s="346">
        <f t="shared" si="101"/>
        <v>-13.493287947925626</v>
      </c>
      <c r="AD232">
        <f t="shared" si="105"/>
        <v>0</v>
      </c>
      <c r="AE232">
        <f t="shared" si="108"/>
        <v>0</v>
      </c>
    </row>
    <row r="233" spans="1:31" x14ac:dyDescent="0.2">
      <c r="A233" s="347">
        <v>13725.5</v>
      </c>
      <c r="B233" s="364">
        <f t="shared" si="102"/>
        <v>13.7255</v>
      </c>
      <c r="C233" s="337">
        <f t="shared" si="83"/>
        <v>1.0240739056118504</v>
      </c>
      <c r="D233" s="338">
        <f t="shared" si="84"/>
        <v>0.21725866031558955</v>
      </c>
      <c r="E233" s="338">
        <f t="shared" si="85"/>
        <v>1.0000003285804531</v>
      </c>
      <c r="F233" s="339">
        <f t="shared" si="86"/>
        <v>8.1065450487359568E-4</v>
      </c>
      <c r="G233" s="338">
        <f t="shared" si="87"/>
        <v>1</v>
      </c>
      <c r="H233" s="339">
        <f t="shared" si="88"/>
        <v>0</v>
      </c>
      <c r="I233" s="337">
        <f t="shared" si="89"/>
        <v>99350.600441816729</v>
      </c>
      <c r="J233" s="340">
        <f t="shared" si="90"/>
        <v>1.5707862614304644</v>
      </c>
      <c r="K233" s="348">
        <f t="shared" si="106"/>
        <v>2.4914048541971408</v>
      </c>
      <c r="L233" s="349">
        <f t="shared" si="107"/>
        <v>1.1577733168823872</v>
      </c>
      <c r="M233" s="337">
        <f t="shared" si="91"/>
        <v>1.000090909294443</v>
      </c>
      <c r="N233" s="340">
        <f t="shared" si="92"/>
        <v>1.3483501614497601E-2</v>
      </c>
      <c r="O233" s="341">
        <f t="shared" si="93"/>
        <v>1.0000366006975652</v>
      </c>
      <c r="P233" s="342">
        <f t="shared" si="94"/>
        <v>2.0370320194571259E-2</v>
      </c>
      <c r="Q233" s="343">
        <f t="shared" si="95"/>
        <v>0.20658115541138833</v>
      </c>
      <c r="R233" s="344">
        <f t="shared" si="96"/>
        <v>-38.00513697732746</v>
      </c>
      <c r="S233" s="346">
        <f t="shared" si="97"/>
        <v>141.99486302267255</v>
      </c>
      <c r="U233" s="319">
        <f t="shared" si="103"/>
        <v>1000000000</v>
      </c>
      <c r="V233" s="319">
        <f t="shared" si="104"/>
        <v>188389350.25</v>
      </c>
      <c r="X233" s="345">
        <f t="shared" si="98"/>
        <v>5.6919110103899921</v>
      </c>
      <c r="Y233" s="346">
        <f t="shared" si="99"/>
        <v>-24.436446370366784</v>
      </c>
      <c r="AA233" s="345">
        <f t="shared" si="100"/>
        <v>32.732637158367659</v>
      </c>
      <c r="AB233" s="346">
        <f t="shared" si="101"/>
        <v>-13.568690606960672</v>
      </c>
      <c r="AD233">
        <f t="shared" si="105"/>
        <v>0</v>
      </c>
      <c r="AE233">
        <f t="shared" si="108"/>
        <v>0</v>
      </c>
    </row>
    <row r="234" spans="1:31" x14ac:dyDescent="0.2">
      <c r="A234" s="347">
        <v>13804</v>
      </c>
      <c r="B234" s="364">
        <f t="shared" si="102"/>
        <v>13.804</v>
      </c>
      <c r="C234" s="337">
        <f t="shared" si="83"/>
        <v>1.0243467816483673</v>
      </c>
      <c r="D234" s="338">
        <f t="shared" si="84"/>
        <v>0.21846217041714838</v>
      </c>
      <c r="E234" s="338">
        <f t="shared" si="85"/>
        <v>1.0000003323496887</v>
      </c>
      <c r="F234" s="339">
        <f t="shared" si="86"/>
        <v>8.1529086424217206E-4</v>
      </c>
      <c r="G234" s="338">
        <f t="shared" si="87"/>
        <v>1</v>
      </c>
      <c r="H234" s="339">
        <f t="shared" si="88"/>
        <v>0</v>
      </c>
      <c r="I234" s="337">
        <f t="shared" si="89"/>
        <v>99918.814505704722</v>
      </c>
      <c r="J234" s="340">
        <f t="shared" si="90"/>
        <v>1.5707863186697506</v>
      </c>
      <c r="K234" s="348">
        <f t="shared" si="106"/>
        <v>2.5033637758421925</v>
      </c>
      <c r="L234" s="349">
        <f t="shared" si="107"/>
        <v>1.1598658455257387</v>
      </c>
      <c r="M234" s="337">
        <f t="shared" si="91"/>
        <v>1.0000919520918763</v>
      </c>
      <c r="N234" s="340">
        <f t="shared" si="92"/>
        <v>1.3560608130894332E-2</v>
      </c>
      <c r="O234" s="341">
        <f t="shared" si="93"/>
        <v>1.0000370207157885</v>
      </c>
      <c r="P234" s="342">
        <f t="shared" si="94"/>
        <v>2.0486831442534784E-2</v>
      </c>
      <c r="Q234" s="343">
        <f t="shared" si="95"/>
        <v>0.19631195515950342</v>
      </c>
      <c r="R234" s="344">
        <f t="shared" si="96"/>
        <v>-37.965031083410025</v>
      </c>
      <c r="S234" s="346">
        <f t="shared" si="97"/>
        <v>142.03496891658997</v>
      </c>
      <c r="U234" s="319">
        <f t="shared" si="103"/>
        <v>1000000000</v>
      </c>
      <c r="V234" s="319">
        <f t="shared" si="104"/>
        <v>190550416</v>
      </c>
      <c r="X234" s="345">
        <f t="shared" si="98"/>
        <v>5.6839595704052268</v>
      </c>
      <c r="Y234" s="346">
        <f t="shared" si="99"/>
        <v>-24.320974467992571</v>
      </c>
      <c r="AA234" s="345">
        <f t="shared" si="100"/>
        <v>32.730319398100541</v>
      </c>
      <c r="AB234" s="346">
        <f t="shared" si="101"/>
        <v>-13.64405661541746</v>
      </c>
      <c r="AD234">
        <f t="shared" si="105"/>
        <v>0</v>
      </c>
      <c r="AE234">
        <f t="shared" si="108"/>
        <v>0</v>
      </c>
    </row>
    <row r="235" spans="1:31" x14ac:dyDescent="0.2">
      <c r="A235" s="347">
        <v>13884.25</v>
      </c>
      <c r="B235" s="364">
        <f t="shared" si="102"/>
        <v>13.88425</v>
      </c>
      <c r="C235" s="337">
        <f t="shared" si="83"/>
        <v>1.0246272737655295</v>
      </c>
      <c r="D235" s="338">
        <f t="shared" si="84"/>
        <v>0.2196918459078491</v>
      </c>
      <c r="E235" s="338">
        <f t="shared" si="85"/>
        <v>1.0000003362251717</v>
      </c>
      <c r="F235" s="339">
        <f t="shared" si="86"/>
        <v>8.2003058190438819E-4</v>
      </c>
      <c r="G235" s="338">
        <f t="shared" si="87"/>
        <v>1</v>
      </c>
      <c r="H235" s="339">
        <f t="shared" si="88"/>
        <v>0</v>
      </c>
      <c r="I235" s="337">
        <f t="shared" si="89"/>
        <v>100499.69576210012</v>
      </c>
      <c r="J235" s="340">
        <f t="shared" si="90"/>
        <v>1.5707863765160184</v>
      </c>
      <c r="K235" s="348">
        <f t="shared" si="106"/>
        <v>2.5156005193781557</v>
      </c>
      <c r="L235" s="349">
        <f t="shared" si="107"/>
        <v>1.16198444780092</v>
      </c>
      <c r="M235" s="337">
        <f t="shared" si="91"/>
        <v>1.0000930242826422</v>
      </c>
      <c r="N235" s="340">
        <f t="shared" si="92"/>
        <v>1.3639433415674099E-2</v>
      </c>
      <c r="O235" s="341">
        <f t="shared" si="93"/>
        <v>1.0000374525773448</v>
      </c>
      <c r="P235" s="342">
        <f t="shared" si="94"/>
        <v>2.0605940210262252E-2</v>
      </c>
      <c r="Q235" s="343">
        <f t="shared" si="95"/>
        <v>0.18592558945772583</v>
      </c>
      <c r="R235" s="344">
        <f t="shared" si="96"/>
        <v>-37.925171864677083</v>
      </c>
      <c r="S235" s="346">
        <f t="shared" si="97"/>
        <v>142.07482813532292</v>
      </c>
      <c r="U235" s="319">
        <f t="shared" si="103"/>
        <v>1000000000</v>
      </c>
      <c r="V235" s="319">
        <f t="shared" si="104"/>
        <v>192772398.0625</v>
      </c>
      <c r="X235" s="345">
        <f t="shared" si="98"/>
        <v>5.6759550132076209</v>
      </c>
      <c r="Y235" s="346">
        <f t="shared" si="99"/>
        <v>-24.204107169508131</v>
      </c>
      <c r="AA235" s="345">
        <f t="shared" si="100"/>
        <v>32.727937589596365</v>
      </c>
      <c r="AB235" s="346">
        <f t="shared" si="101"/>
        <v>-13.721064695168945</v>
      </c>
      <c r="AD235">
        <f t="shared" si="105"/>
        <v>0</v>
      </c>
      <c r="AE235">
        <f t="shared" si="108"/>
        <v>0</v>
      </c>
    </row>
    <row r="236" spans="1:31" x14ac:dyDescent="0.2">
      <c r="A236" s="347">
        <v>13964.5</v>
      </c>
      <c r="B236" s="364">
        <f t="shared" si="102"/>
        <v>13.964499999999999</v>
      </c>
      <c r="C236" s="337">
        <f t="shared" si="83"/>
        <v>1.0249093143740515</v>
      </c>
      <c r="D236" s="338">
        <f t="shared" si="84"/>
        <v>0.22092084647732102</v>
      </c>
      <c r="E236" s="338">
        <f t="shared" si="85"/>
        <v>1.0000003401231199</v>
      </c>
      <c r="F236" s="339">
        <f t="shared" si="86"/>
        <v>8.2477029952976054E-4</v>
      </c>
      <c r="G236" s="338">
        <f t="shared" si="87"/>
        <v>1</v>
      </c>
      <c r="H236" s="339">
        <f t="shared" si="88"/>
        <v>0</v>
      </c>
      <c r="I236" s="337">
        <f t="shared" si="89"/>
        <v>101080.57701849584</v>
      </c>
      <c r="J236" s="340">
        <f t="shared" si="90"/>
        <v>1.570786433697434</v>
      </c>
      <c r="K236" s="348">
        <f t="shared" si="106"/>
        <v>2.5278484447798619</v>
      </c>
      <c r="L236" s="349">
        <f t="shared" si="107"/>
        <v>1.1640825293237942</v>
      </c>
      <c r="M236" s="337">
        <f t="shared" si="91"/>
        <v>1.0000941026873984</v>
      </c>
      <c r="N236" s="340">
        <f t="shared" si="92"/>
        <v>1.3718258530948511E-2</v>
      </c>
      <c r="O236" s="341">
        <f t="shared" si="93"/>
        <v>1.0000378869461743</v>
      </c>
      <c r="P236" s="342">
        <f t="shared" si="94"/>
        <v>2.0725049115523895E-2</v>
      </c>
      <c r="Q236" s="343">
        <f t="shared" si="95"/>
        <v>0.17564975090697094</v>
      </c>
      <c r="R236" s="344">
        <f t="shared" si="96"/>
        <v>-37.886449688384225</v>
      </c>
      <c r="S236" s="346">
        <f t="shared" si="97"/>
        <v>142.11355031161577</v>
      </c>
      <c r="U236" s="319">
        <f t="shared" si="103"/>
        <v>1000000000</v>
      </c>
      <c r="V236" s="319">
        <f t="shared" si="104"/>
        <v>195007260.25</v>
      </c>
      <c r="X236" s="345">
        <f t="shared" si="98"/>
        <v>5.6680734769736816</v>
      </c>
      <c r="Y236" s="346">
        <f t="shared" si="99"/>
        <v>-24.088415575719498</v>
      </c>
      <c r="AA236" s="345">
        <f t="shared" si="100"/>
        <v>32.72554328727955</v>
      </c>
      <c r="AB236" s="346">
        <f t="shared" si="101"/>
        <v>-13.798034112664709</v>
      </c>
      <c r="AD236">
        <f t="shared" si="105"/>
        <v>0</v>
      </c>
      <c r="AE236">
        <f t="shared" si="108"/>
        <v>0</v>
      </c>
    </row>
    <row r="237" spans="1:31" x14ac:dyDescent="0.2">
      <c r="A237" s="347">
        <v>14044.75</v>
      </c>
      <c r="B237" s="364">
        <f t="shared" si="102"/>
        <v>14.044750000000001</v>
      </c>
      <c r="C237" s="337">
        <f t="shared" si="83"/>
        <v>1.0251929021959179</v>
      </c>
      <c r="D237" s="338">
        <f t="shared" si="84"/>
        <v>0.22214916897146558</v>
      </c>
      <c r="E237" s="338">
        <f t="shared" si="85"/>
        <v>1.0000003440435328</v>
      </c>
      <c r="F237" s="339">
        <f t="shared" si="86"/>
        <v>8.2951001711807605E-4</v>
      </c>
      <c r="G237" s="338">
        <f t="shared" si="87"/>
        <v>1</v>
      </c>
      <c r="H237" s="339">
        <f t="shared" si="88"/>
        <v>0</v>
      </c>
      <c r="I237" s="337">
        <f t="shared" si="89"/>
        <v>101661.45827489189</v>
      </c>
      <c r="J237" s="340">
        <f t="shared" si="90"/>
        <v>1.5707864902253945</v>
      </c>
      <c r="K237" s="348">
        <f t="shared" si="106"/>
        <v>2.540107390296686</v>
      </c>
      <c r="L237" s="349">
        <f t="shared" si="107"/>
        <v>1.1661603685972219</v>
      </c>
      <c r="M237" s="337">
        <f t="shared" si="91"/>
        <v>1.0000951873061243</v>
      </c>
      <c r="N237" s="340">
        <f t="shared" si="92"/>
        <v>1.3797083475738575E-2</v>
      </c>
      <c r="O237" s="341">
        <f t="shared" si="93"/>
        <v>1.0000383238223451</v>
      </c>
      <c r="P237" s="342">
        <f t="shared" si="94"/>
        <v>2.0844158159113422E-2</v>
      </c>
      <c r="Q237" s="343">
        <f t="shared" si="95"/>
        <v>0.16548201131146179</v>
      </c>
      <c r="R237" s="344">
        <f t="shared" si="96"/>
        <v>-37.848848417418786</v>
      </c>
      <c r="S237" s="346">
        <f t="shared" si="97"/>
        <v>142.15115158258121</v>
      </c>
      <c r="U237" s="319">
        <f t="shared" si="103"/>
        <v>1000000000</v>
      </c>
      <c r="V237" s="319">
        <f t="shared" si="104"/>
        <v>197255002.5625</v>
      </c>
      <c r="X237" s="345">
        <f t="shared" si="98"/>
        <v>5.6603125122055706</v>
      </c>
      <c r="Y237" s="346">
        <f t="shared" si="99"/>
        <v>-23.973883730185072</v>
      </c>
      <c r="AA237" s="345">
        <f t="shared" si="100"/>
        <v>32.72313651245215</v>
      </c>
      <c r="AB237" s="346">
        <f t="shared" si="101"/>
        <v>-13.874964687233707</v>
      </c>
      <c r="AD237">
        <f t="shared" si="105"/>
        <v>0</v>
      </c>
      <c r="AE237">
        <f t="shared" si="108"/>
        <v>0</v>
      </c>
    </row>
    <row r="238" spans="1:31" x14ac:dyDescent="0.2">
      <c r="A238" s="347">
        <v>14125</v>
      </c>
      <c r="B238" s="364">
        <f t="shared" si="102"/>
        <v>14.125</v>
      </c>
      <c r="C238" s="337">
        <f t="shared" si="83"/>
        <v>1.0254780359475197</v>
      </c>
      <c r="D238" s="338">
        <f t="shared" si="84"/>
        <v>0.22337681024784814</v>
      </c>
      <c r="E238" s="338">
        <f t="shared" si="85"/>
        <v>1.0000003479864108</v>
      </c>
      <c r="F238" s="339">
        <f t="shared" si="86"/>
        <v>8.3424973466912167E-4</v>
      </c>
      <c r="G238" s="338">
        <f t="shared" si="87"/>
        <v>1</v>
      </c>
      <c r="H238" s="339">
        <f t="shared" si="88"/>
        <v>0</v>
      </c>
      <c r="I238" s="337">
        <f t="shared" si="89"/>
        <v>102242.33953128826</v>
      </c>
      <c r="J238" s="340">
        <f t="shared" si="90"/>
        <v>1.5707865461110371</v>
      </c>
      <c r="K238" s="348">
        <f t="shared" si="106"/>
        <v>2.5523771971413751</v>
      </c>
      <c r="L238" s="349">
        <f t="shared" si="107"/>
        <v>1.1682182394751726</v>
      </c>
      <c r="M238" s="337">
        <f t="shared" si="91"/>
        <v>1.0000962781388003</v>
      </c>
      <c r="N238" s="340">
        <f t="shared" si="92"/>
        <v>1.3875908249065311E-2</v>
      </c>
      <c r="O238" s="341">
        <f t="shared" si="93"/>
        <v>1.0000387632059253</v>
      </c>
      <c r="P238" s="342">
        <f t="shared" si="94"/>
        <v>2.0963267341824531E-2</v>
      </c>
      <c r="Q238" s="343">
        <f t="shared" si="95"/>
        <v>0.15542000167226527</v>
      </c>
      <c r="R238" s="344">
        <f t="shared" si="96"/>
        <v>-37.812352181683387</v>
      </c>
      <c r="S238" s="346">
        <f t="shared" si="97"/>
        <v>142.18764781831661</v>
      </c>
      <c r="U238" s="319">
        <f t="shared" si="103"/>
        <v>1000000000</v>
      </c>
      <c r="V238" s="319">
        <f t="shared" si="104"/>
        <v>199515625</v>
      </c>
      <c r="X238" s="345">
        <f t="shared" si="98"/>
        <v>5.6526697285191627</v>
      </c>
      <c r="Y238" s="346">
        <f t="shared" si="99"/>
        <v>-23.860495942810207</v>
      </c>
      <c r="AA238" s="345">
        <f t="shared" si="100"/>
        <v>32.720717286499365</v>
      </c>
      <c r="AB238" s="346">
        <f t="shared" si="101"/>
        <v>-13.951856238873182</v>
      </c>
      <c r="AD238">
        <f t="shared" si="105"/>
        <v>0</v>
      </c>
      <c r="AE238">
        <f t="shared" si="108"/>
        <v>0</v>
      </c>
    </row>
    <row r="239" spans="1:31" x14ac:dyDescent="0.2">
      <c r="A239" s="347">
        <v>14207.25</v>
      </c>
      <c r="B239" s="364">
        <f t="shared" si="102"/>
        <v>14.20725</v>
      </c>
      <c r="C239" s="337">
        <f t="shared" si="83"/>
        <v>1.0257718786889138</v>
      </c>
      <c r="D239" s="338">
        <f t="shared" si="84"/>
        <v>0.22463433677438804</v>
      </c>
      <c r="E239" s="338">
        <f t="shared" si="85"/>
        <v>1.0000003520508653</v>
      </c>
      <c r="F239" s="339">
        <f t="shared" si="86"/>
        <v>8.391075759831652E-4</v>
      </c>
      <c r="G239" s="338">
        <f t="shared" si="87"/>
        <v>1</v>
      </c>
      <c r="H239" s="339">
        <f t="shared" si="88"/>
        <v>0</v>
      </c>
      <c r="I239" s="337">
        <f t="shared" si="89"/>
        <v>102837.69757912162</v>
      </c>
      <c r="J239" s="340">
        <f t="shared" si="90"/>
        <v>1.5707866027343278</v>
      </c>
      <c r="K239" s="348">
        <f t="shared" si="106"/>
        <v>2.5649639012074275</v>
      </c>
      <c r="L239" s="349">
        <f t="shared" si="107"/>
        <v>1.1703069575108789</v>
      </c>
      <c r="M239" s="337">
        <f t="shared" si="91"/>
        <v>1.000097402605493</v>
      </c>
      <c r="N239" s="340">
        <f t="shared" si="92"/>
        <v>1.3956697323773446E-2</v>
      </c>
      <c r="O239" s="341">
        <f t="shared" si="93"/>
        <v>1.0000392161418699</v>
      </c>
      <c r="P239" s="342">
        <f t="shared" si="94"/>
        <v>2.1085345122883348E-2</v>
      </c>
      <c r="Q239" s="343">
        <f t="shared" si="95"/>
        <v>0.14521452260006992</v>
      </c>
      <c r="R239" s="344">
        <f t="shared" si="96"/>
        <v>-37.776076741308863</v>
      </c>
      <c r="S239" s="346">
        <f t="shared" si="97"/>
        <v>142.22392325869114</v>
      </c>
      <c r="U239" s="319">
        <f t="shared" si="103"/>
        <v>1000000000</v>
      </c>
      <c r="V239" s="319">
        <f t="shared" si="104"/>
        <v>201845952.5625</v>
      </c>
      <c r="X239" s="345">
        <f t="shared" si="98"/>
        <v>5.644956665627614</v>
      </c>
      <c r="Y239" s="346">
        <f t="shared" si="99"/>
        <v>-23.745453331927045</v>
      </c>
      <c r="AA239" s="345">
        <f t="shared" si="100"/>
        <v>32.718224870318721</v>
      </c>
      <c r="AB239" s="346">
        <f t="shared" si="101"/>
        <v>-14.030623409381823</v>
      </c>
      <c r="AD239">
        <f t="shared" si="105"/>
        <v>0</v>
      </c>
      <c r="AE239">
        <f t="shared" si="108"/>
        <v>0</v>
      </c>
    </row>
    <row r="240" spans="1:31" x14ac:dyDescent="0.2">
      <c r="A240" s="347">
        <v>14289.5</v>
      </c>
      <c r="B240" s="364">
        <f t="shared" si="102"/>
        <v>14.2895</v>
      </c>
      <c r="C240" s="337">
        <f t="shared" si="83"/>
        <v>1.026067342627647</v>
      </c>
      <c r="D240" s="338">
        <f t="shared" si="84"/>
        <v>0.22589114105869101</v>
      </c>
      <c r="E240" s="338">
        <f t="shared" si="85"/>
        <v>1.0000003561389184</v>
      </c>
      <c r="F240" s="339">
        <f t="shared" si="86"/>
        <v>8.4396541725760522E-4</v>
      </c>
      <c r="G240" s="338">
        <f t="shared" si="87"/>
        <v>1</v>
      </c>
      <c r="H240" s="339">
        <f t="shared" si="88"/>
        <v>0</v>
      </c>
      <c r="I240" s="337">
        <f t="shared" si="89"/>
        <v>103433.05562695532</v>
      </c>
      <c r="J240" s="340">
        <f t="shared" si="90"/>
        <v>1.5707866587057742</v>
      </c>
      <c r="K240" s="348">
        <f t="shared" si="106"/>
        <v>2.5775616862352089</v>
      </c>
      <c r="L240" s="349">
        <f t="shared" si="107"/>
        <v>1.1723752673552887</v>
      </c>
      <c r="M240" s="337">
        <f t="shared" si="91"/>
        <v>1.0000985335996813</v>
      </c>
      <c r="N240" s="340">
        <f t="shared" si="92"/>
        <v>1.4037486216282936E-2</v>
      </c>
      <c r="O240" s="341">
        <f t="shared" si="93"/>
        <v>1.0000396717119069</v>
      </c>
      <c r="P240" s="342">
        <f t="shared" si="94"/>
        <v>2.120742305177277E-2</v>
      </c>
      <c r="Q240" s="343">
        <f t="shared" si="95"/>
        <v>0.1351152536338095</v>
      </c>
      <c r="R240" s="344">
        <f t="shared" si="96"/>
        <v>-37.740929183417641</v>
      </c>
      <c r="S240" s="346">
        <f t="shared" si="97"/>
        <v>142.25907081658235</v>
      </c>
      <c r="U240" s="319">
        <f t="shared" si="103"/>
        <v>1000000000</v>
      </c>
      <c r="V240" s="319">
        <f t="shared" si="104"/>
        <v>204189810.25</v>
      </c>
      <c r="X240" s="345">
        <f t="shared" si="98"/>
        <v>5.6373628465638781</v>
      </c>
      <c r="Y240" s="346">
        <f t="shared" si="99"/>
        <v>-23.631579976486858</v>
      </c>
      <c r="AA240" s="345">
        <f t="shared" si="100"/>
        <v>32.715719420416193</v>
      </c>
      <c r="AB240" s="346">
        <f t="shared" si="101"/>
        <v>-14.109349206930792</v>
      </c>
      <c r="AD240">
        <f t="shared" si="105"/>
        <v>0</v>
      </c>
      <c r="AE240">
        <f t="shared" si="108"/>
        <v>0</v>
      </c>
    </row>
    <row r="241" spans="1:31" x14ac:dyDescent="0.2">
      <c r="A241" s="347">
        <v>14371.75</v>
      </c>
      <c r="B241" s="364">
        <f t="shared" si="102"/>
        <v>14.37175</v>
      </c>
      <c r="C241" s="337">
        <f t="shared" si="83"/>
        <v>1.0263644263636158</v>
      </c>
      <c r="D241" s="338">
        <f t="shared" si="84"/>
        <v>0.22714721975583518</v>
      </c>
      <c r="E241" s="338">
        <f t="shared" si="85"/>
        <v>1.0000003602505703</v>
      </c>
      <c r="F241" s="339">
        <f t="shared" si="86"/>
        <v>8.4882325849221219E-4</v>
      </c>
      <c r="G241" s="338">
        <f t="shared" si="87"/>
        <v>1</v>
      </c>
      <c r="H241" s="339">
        <f t="shared" si="88"/>
        <v>0</v>
      </c>
      <c r="I241" s="337">
        <f t="shared" si="89"/>
        <v>104028.41367478935</v>
      </c>
      <c r="J241" s="340">
        <f t="shared" si="90"/>
        <v>1.5707867140365674</v>
      </c>
      <c r="K241" s="348">
        <f t="shared" si="106"/>
        <v>2.5901703905416467</v>
      </c>
      <c r="L241" s="349">
        <f t="shared" si="107"/>
        <v>1.1744234492175842</v>
      </c>
      <c r="M241" s="337">
        <f t="shared" si="91"/>
        <v>1.0000996711213428</v>
      </c>
      <c r="N241" s="340">
        <f t="shared" si="92"/>
        <v>1.411827492553981E-2</v>
      </c>
      <c r="O241" s="341">
        <f t="shared" si="93"/>
        <v>1.0000401299161117</v>
      </c>
      <c r="P241" s="342">
        <f t="shared" si="94"/>
        <v>2.1329501129347263E-2</v>
      </c>
      <c r="Q241" s="343">
        <f t="shared" si="95"/>
        <v>0.12511982704247693</v>
      </c>
      <c r="R241" s="344">
        <f t="shared" si="96"/>
        <v>-37.706893262186092</v>
      </c>
      <c r="S241" s="346">
        <f t="shared" si="97"/>
        <v>142.2931067378139</v>
      </c>
      <c r="U241" s="319">
        <f t="shared" si="103"/>
        <v>1000000000</v>
      </c>
      <c r="V241" s="319">
        <f t="shared" si="104"/>
        <v>206547198.0625</v>
      </c>
      <c r="X241" s="345">
        <f t="shared" si="98"/>
        <v>5.6298858803047676</v>
      </c>
      <c r="Y241" s="346">
        <f t="shared" si="99"/>
        <v>-23.51885982226694</v>
      </c>
      <c r="AA241" s="345">
        <f t="shared" si="100"/>
        <v>32.713200960083967</v>
      </c>
      <c r="AB241" s="346">
        <f t="shared" si="101"/>
        <v>-14.188033439919156</v>
      </c>
      <c r="AD241">
        <f t="shared" si="105"/>
        <v>0</v>
      </c>
      <c r="AE241">
        <f t="shared" si="108"/>
        <v>0</v>
      </c>
    </row>
    <row r="242" spans="1:31" x14ac:dyDescent="0.2">
      <c r="A242" s="347">
        <v>14454</v>
      </c>
      <c r="B242" s="364">
        <f t="shared" si="102"/>
        <v>14.454000000000001</v>
      </c>
      <c r="C242" s="337">
        <f t="shared" si="83"/>
        <v>1.0266631284906669</v>
      </c>
      <c r="D242" s="338">
        <f t="shared" si="84"/>
        <v>0.22840256953391813</v>
      </c>
      <c r="E242" s="338">
        <f t="shared" si="85"/>
        <v>1.0000003643858206</v>
      </c>
      <c r="F242" s="339">
        <f t="shared" si="86"/>
        <v>8.5368109968675724E-4</v>
      </c>
      <c r="G242" s="338">
        <f t="shared" si="87"/>
        <v>1</v>
      </c>
      <c r="H242" s="339">
        <f t="shared" si="88"/>
        <v>0</v>
      </c>
      <c r="I242" s="337">
        <f t="shared" si="89"/>
        <v>104623.77172262369</v>
      </c>
      <c r="J242" s="340">
        <f t="shared" si="90"/>
        <v>1.5707867687376449</v>
      </c>
      <c r="K242" s="348">
        <f t="shared" si="106"/>
        <v>2.6027898554378419</v>
      </c>
      <c r="L242" s="349">
        <f t="shared" si="107"/>
        <v>1.1764517785552204</v>
      </c>
      <c r="M242" s="337">
        <f t="shared" si="91"/>
        <v>1.0001008151704558</v>
      </c>
      <c r="N242" s="340">
        <f t="shared" si="92"/>
        <v>1.4199063450490103E-2</v>
      </c>
      <c r="O242" s="341">
        <f t="shared" si="93"/>
        <v>1.0000405907545591</v>
      </c>
      <c r="P242" s="342">
        <f t="shared" si="94"/>
        <v>2.1451579356461255E-2</v>
      </c>
      <c r="Q242" s="343">
        <f t="shared" si="95"/>
        <v>0.11522593334397863</v>
      </c>
      <c r="R242" s="344">
        <f t="shared" si="96"/>
        <v>-37.673953004775861</v>
      </c>
      <c r="S242" s="346">
        <f t="shared" si="97"/>
        <v>142.32604699522415</v>
      </c>
      <c r="U242" s="319">
        <f t="shared" si="103"/>
        <v>1000000000</v>
      </c>
      <c r="V242" s="319">
        <f t="shared" si="104"/>
        <v>208918116</v>
      </c>
      <c r="X242" s="345">
        <f t="shared" si="98"/>
        <v>5.6225234339869301</v>
      </c>
      <c r="Y242" s="346">
        <f t="shared" si="99"/>
        <v>-23.40727708728393</v>
      </c>
      <c r="AA242" s="345">
        <f t="shared" si="100"/>
        <v>32.710669512703305</v>
      </c>
      <c r="AB242" s="346">
        <f t="shared" si="101"/>
        <v>-14.266675917491934</v>
      </c>
      <c r="AD242">
        <f t="shared" si="105"/>
        <v>0</v>
      </c>
      <c r="AE242">
        <f t="shared" si="108"/>
        <v>0</v>
      </c>
    </row>
    <row r="243" spans="1:31" x14ac:dyDescent="0.2">
      <c r="A243" s="347">
        <v>14622.5</v>
      </c>
      <c r="B243" s="364">
        <f t="shared" si="102"/>
        <v>14.6225</v>
      </c>
      <c r="C243" s="337">
        <f t="shared" si="83"/>
        <v>1.0272801071859747</v>
      </c>
      <c r="D243" s="338">
        <f t="shared" si="84"/>
        <v>0.23097202932150221</v>
      </c>
      <c r="E243" s="338">
        <f t="shared" si="85"/>
        <v>1.0000003729311207</v>
      </c>
      <c r="F243" s="339">
        <f t="shared" si="86"/>
        <v>8.6363302954586363E-4</v>
      </c>
      <c r="G243" s="338">
        <f t="shared" si="87"/>
        <v>1</v>
      </c>
      <c r="H243" s="339">
        <f t="shared" si="88"/>
        <v>0</v>
      </c>
      <c r="I243" s="337">
        <f t="shared" si="89"/>
        <v>105843.4414011667</v>
      </c>
      <c r="J243" s="340">
        <f t="shared" si="90"/>
        <v>1.5707868788783628</v>
      </c>
      <c r="K243" s="348">
        <f t="shared" si="106"/>
        <v>2.6286754473237948</v>
      </c>
      <c r="L243" s="349">
        <f t="shared" si="107"/>
        <v>1.1805462208269097</v>
      </c>
      <c r="M243" s="337">
        <f t="shared" si="91"/>
        <v>1.0001031792899175</v>
      </c>
      <c r="N243" s="340">
        <f t="shared" si="92"/>
        <v>1.4364568845628834E-2</v>
      </c>
      <c r="O243" s="341">
        <f t="shared" si="93"/>
        <v>1.0000415430694847</v>
      </c>
      <c r="P243" s="342">
        <f t="shared" si="94"/>
        <v>2.1701673216323613E-2</v>
      </c>
      <c r="Q243" s="343">
        <f t="shared" si="95"/>
        <v>9.5264613529001035E-2</v>
      </c>
      <c r="R243" s="344">
        <f t="shared" si="96"/>
        <v>-37.609826134831678</v>
      </c>
      <c r="S243" s="346">
        <f t="shared" si="97"/>
        <v>142.39017386516832</v>
      </c>
      <c r="U243" s="319">
        <f t="shared" si="103"/>
        <v>1000000000</v>
      </c>
      <c r="V243" s="319">
        <f t="shared" si="104"/>
        <v>213817506.25</v>
      </c>
      <c r="X243" s="345">
        <f t="shared" si="98"/>
        <v>5.6077885753065164</v>
      </c>
      <c r="Y243" s="346">
        <f t="shared" si="99"/>
        <v>-23.182171896625341</v>
      </c>
      <c r="AA243" s="345">
        <f t="shared" si="100"/>
        <v>32.705443051568743</v>
      </c>
      <c r="AB243" s="346">
        <f t="shared" si="101"/>
        <v>-14.427654238206342</v>
      </c>
      <c r="AD243">
        <f t="shared" si="105"/>
        <v>0</v>
      </c>
      <c r="AE243">
        <f t="shared" si="108"/>
        <v>0</v>
      </c>
    </row>
    <row r="244" spans="1:31" x14ac:dyDescent="0.2">
      <c r="A244" s="347">
        <v>14706.75</v>
      </c>
      <c r="B244" s="364">
        <f t="shared" si="102"/>
        <v>14.70675</v>
      </c>
      <c r="C244" s="337">
        <f t="shared" si="83"/>
        <v>1.0275911375748461</v>
      </c>
      <c r="D244" s="338">
        <f t="shared" si="84"/>
        <v>0.23225559792639575</v>
      </c>
      <c r="E244" s="338">
        <f t="shared" si="85"/>
        <v>1.0000003772409112</v>
      </c>
      <c r="F244" s="339">
        <f t="shared" si="86"/>
        <v>8.6860899441138872E-4</v>
      </c>
      <c r="G244" s="338">
        <f t="shared" si="87"/>
        <v>1</v>
      </c>
      <c r="H244" s="339">
        <f t="shared" si="88"/>
        <v>0</v>
      </c>
      <c r="I244" s="337">
        <f t="shared" si="89"/>
        <v>106453.27624043869</v>
      </c>
      <c r="J244" s="340">
        <f t="shared" si="90"/>
        <v>1.5707869330022832</v>
      </c>
      <c r="K244" s="348">
        <f t="shared" si="106"/>
        <v>2.6416345259077092</v>
      </c>
      <c r="L244" s="349">
        <f t="shared" si="107"/>
        <v>1.1825633337458763</v>
      </c>
      <c r="M244" s="337">
        <f t="shared" si="91"/>
        <v>1.0001043716226854</v>
      </c>
      <c r="N244" s="340">
        <f t="shared" si="92"/>
        <v>1.4447321248639551E-2</v>
      </c>
      <c r="O244" s="341">
        <f t="shared" si="93"/>
        <v>1.0000420233731346</v>
      </c>
      <c r="P244" s="342">
        <f t="shared" si="94"/>
        <v>2.18267203852456E-2</v>
      </c>
      <c r="Q244" s="343">
        <f t="shared" si="95"/>
        <v>8.5434359558974535E-2</v>
      </c>
      <c r="R244" s="344">
        <f t="shared" si="96"/>
        <v>-37.579421179257515</v>
      </c>
      <c r="S244" s="346">
        <f t="shared" si="97"/>
        <v>142.42057882074249</v>
      </c>
      <c r="U244" s="319">
        <f t="shared" si="103"/>
        <v>1000000000</v>
      </c>
      <c r="V244" s="319">
        <f t="shared" si="104"/>
        <v>216288495.5625</v>
      </c>
      <c r="X244" s="345">
        <f t="shared" si="98"/>
        <v>5.6005918910465846</v>
      </c>
      <c r="Y244" s="346">
        <f t="shared" si="99"/>
        <v>-23.071344303949896</v>
      </c>
      <c r="AA244" s="345">
        <f t="shared" si="100"/>
        <v>32.702809481858651</v>
      </c>
      <c r="AB244" s="346">
        <f t="shared" si="101"/>
        <v>-14.508076875307621</v>
      </c>
      <c r="AD244">
        <f t="shared" si="105"/>
        <v>0</v>
      </c>
      <c r="AE244">
        <f t="shared" si="108"/>
        <v>0</v>
      </c>
    </row>
    <row r="245" spans="1:31" x14ac:dyDescent="0.2">
      <c r="A245" s="347">
        <v>14791</v>
      </c>
      <c r="B245" s="364">
        <f t="shared" si="102"/>
        <v>14.791</v>
      </c>
      <c r="C245" s="337">
        <f t="shared" si="83"/>
        <v>1.0279038599436248</v>
      </c>
      <c r="D245" s="338">
        <f t="shared" si="84"/>
        <v>0.23353838763558959</v>
      </c>
      <c r="E245" s="338">
        <f t="shared" si="85"/>
        <v>1.0000003815754619</v>
      </c>
      <c r="F245" s="339">
        <f t="shared" si="86"/>
        <v>8.7358495923390005E-4</v>
      </c>
      <c r="G245" s="338">
        <f t="shared" si="87"/>
        <v>1</v>
      </c>
      <c r="H245" s="339">
        <f t="shared" si="88"/>
        <v>0</v>
      </c>
      <c r="I245" s="337">
        <f t="shared" si="89"/>
        <v>107063.11107971097</v>
      </c>
      <c r="J245" s="340">
        <f t="shared" si="90"/>
        <v>1.5707869865096207</v>
      </c>
      <c r="K245" s="348">
        <f t="shared" si="106"/>
        <v>2.6546042476631428</v>
      </c>
      <c r="L245" s="349">
        <f t="shared" si="107"/>
        <v>1.1845607445235229</v>
      </c>
      <c r="M245" s="337">
        <f t="shared" si="91"/>
        <v>1.0001055708041116</v>
      </c>
      <c r="N245" s="340">
        <f t="shared" si="92"/>
        <v>1.4530073453767613E-2</v>
      </c>
      <c r="O245" s="341">
        <f t="shared" si="93"/>
        <v>1.0000425064410194</v>
      </c>
      <c r="P245" s="342">
        <f t="shared" si="94"/>
        <v>2.1951767714719052E-2</v>
      </c>
      <c r="Q245" s="343">
        <f t="shared" si="95"/>
        <v>7.5701363162619342E-2</v>
      </c>
      <c r="R245" s="344">
        <f t="shared" si="96"/>
        <v>-37.550100408329264</v>
      </c>
      <c r="S245" s="346">
        <f t="shared" si="97"/>
        <v>142.44989959167074</v>
      </c>
      <c r="U245" s="319">
        <f t="shared" si="103"/>
        <v>1000000000</v>
      </c>
      <c r="V245" s="319">
        <f t="shared" si="104"/>
        <v>218773681</v>
      </c>
      <c r="X245" s="345">
        <f t="shared" si="98"/>
        <v>5.5935059898071806</v>
      </c>
      <c r="Y245" s="346">
        <f t="shared" si="99"/>
        <v>-22.961645514155304</v>
      </c>
      <c r="AA245" s="345">
        <f t="shared" si="100"/>
        <v>32.700162386701706</v>
      </c>
      <c r="AB245" s="346">
        <f t="shared" si="101"/>
        <v>-14.588454894173964</v>
      </c>
      <c r="AD245">
        <f t="shared" si="105"/>
        <v>0</v>
      </c>
      <c r="AE245">
        <f t="shared" si="108"/>
        <v>0</v>
      </c>
    </row>
    <row r="246" spans="1:31" x14ac:dyDescent="0.2">
      <c r="A246" s="347">
        <v>14877.25</v>
      </c>
      <c r="B246" s="364">
        <f t="shared" si="102"/>
        <v>14.87725</v>
      </c>
      <c r="C246" s="337">
        <f t="shared" si="83"/>
        <v>1.0282257570821094</v>
      </c>
      <c r="D246" s="338">
        <f t="shared" si="84"/>
        <v>0.23485081881189235</v>
      </c>
      <c r="E246" s="338">
        <f t="shared" si="85"/>
        <v>1.0000003860385587</v>
      </c>
      <c r="F246" s="339">
        <f t="shared" si="86"/>
        <v>8.7867904780560252E-4</v>
      </c>
      <c r="G246" s="338">
        <f t="shared" si="87"/>
        <v>1</v>
      </c>
      <c r="H246" s="339">
        <f t="shared" si="88"/>
        <v>0</v>
      </c>
      <c r="I246" s="337">
        <f t="shared" si="89"/>
        <v>107687.4227104203</v>
      </c>
      <c r="J246" s="340">
        <f t="shared" si="90"/>
        <v>1.5707870406593867</v>
      </c>
      <c r="K246" s="348">
        <f t="shared" si="106"/>
        <v>2.6678927190776283</v>
      </c>
      <c r="L246" s="349">
        <f t="shared" si="107"/>
        <v>1.1865854458220777</v>
      </c>
      <c r="M246" s="337">
        <f t="shared" si="91"/>
        <v>1.0001068055471845</v>
      </c>
      <c r="N246" s="340">
        <f t="shared" si="92"/>
        <v>1.4614789896767058E-2</v>
      </c>
      <c r="O246" s="341">
        <f t="shared" si="93"/>
        <v>1.0000430038399213</v>
      </c>
      <c r="P246" s="342">
        <f t="shared" si="94"/>
        <v>2.2079783694063587E-2</v>
      </c>
      <c r="Q246" s="343">
        <f t="shared" si="95"/>
        <v>6.5835778334816589E-2</v>
      </c>
      <c r="R246" s="344">
        <f t="shared" si="96"/>
        <v>-37.521190239161243</v>
      </c>
      <c r="S246" s="346">
        <f t="shared" si="97"/>
        <v>142.47880976083877</v>
      </c>
      <c r="U246" s="319">
        <f t="shared" si="103"/>
        <v>1000000000</v>
      </c>
      <c r="V246" s="319">
        <f t="shared" si="104"/>
        <v>221332567.5625</v>
      </c>
      <c r="X246" s="345">
        <f t="shared" si="98"/>
        <v>5.5863643233329228</v>
      </c>
      <c r="Y246" s="346">
        <f t="shared" si="99"/>
        <v>-22.850495672038726</v>
      </c>
      <c r="AA246" s="345">
        <f t="shared" si="100"/>
        <v>32.697438468348153</v>
      </c>
      <c r="AB246" s="346">
        <f t="shared" si="101"/>
        <v>-14.670694567122526</v>
      </c>
      <c r="AD246">
        <f t="shared" si="105"/>
        <v>0</v>
      </c>
      <c r="AE246">
        <f t="shared" si="108"/>
        <v>0</v>
      </c>
    </row>
    <row r="247" spans="1:31" x14ac:dyDescent="0.2">
      <c r="A247" s="347">
        <v>14963.5</v>
      </c>
      <c r="B247" s="364">
        <f t="shared" si="102"/>
        <v>14.9635</v>
      </c>
      <c r="C247" s="337">
        <f t="shared" si="83"/>
        <v>1.0285494242040143</v>
      </c>
      <c r="D247" s="338">
        <f t="shared" si="84"/>
        <v>0.23616242624640138</v>
      </c>
      <c r="E247" s="338">
        <f t="shared" si="85"/>
        <v>1.0000003905276054</v>
      </c>
      <c r="F247" s="339">
        <f t="shared" si="86"/>
        <v>8.8377313633170203E-4</v>
      </c>
      <c r="G247" s="338">
        <f t="shared" si="87"/>
        <v>1</v>
      </c>
      <c r="H247" s="339">
        <f t="shared" si="88"/>
        <v>0</v>
      </c>
      <c r="I247" s="337">
        <f t="shared" si="89"/>
        <v>108311.73434112995</v>
      </c>
      <c r="J247" s="340">
        <f t="shared" si="90"/>
        <v>1.5707870941849111</v>
      </c>
      <c r="K247" s="348">
        <f t="shared" si="106"/>
        <v>2.6811920188569589</v>
      </c>
      <c r="L247" s="349">
        <f t="shared" si="107"/>
        <v>1.18859006934666</v>
      </c>
      <c r="M247" s="337">
        <f t="shared" si="91"/>
        <v>1.0001080474678818</v>
      </c>
      <c r="N247" s="340">
        <f t="shared" si="92"/>
        <v>1.4699506129975027E-2</v>
      </c>
      <c r="O247" s="341">
        <f t="shared" si="93"/>
        <v>1.0000435041360323</v>
      </c>
      <c r="P247" s="342">
        <f t="shared" si="94"/>
        <v>2.2207799843620028E-2</v>
      </c>
      <c r="Q247" s="343">
        <f t="shared" si="95"/>
        <v>5.6067537269246591E-2</v>
      </c>
      <c r="R247" s="344">
        <f t="shared" si="96"/>
        <v>-37.493383206745428</v>
      </c>
      <c r="S247" s="346">
        <f t="shared" si="97"/>
        <v>142.50661679325458</v>
      </c>
      <c r="U247" s="319">
        <f t="shared" si="103"/>
        <v>1000000000</v>
      </c>
      <c r="V247" s="319">
        <f t="shared" si="104"/>
        <v>223906332.25</v>
      </c>
      <c r="X247" s="345">
        <f t="shared" si="98"/>
        <v>5.5793341214397563</v>
      </c>
      <c r="Y247" s="346">
        <f t="shared" si="99"/>
        <v>-22.740496153847541</v>
      </c>
      <c r="AA247" s="345">
        <f t="shared" si="100"/>
        <v>32.694700429175754</v>
      </c>
      <c r="AB247" s="346">
        <f t="shared" si="101"/>
        <v>-14.752887052897881</v>
      </c>
      <c r="AD247">
        <f t="shared" si="105"/>
        <v>0</v>
      </c>
      <c r="AE247">
        <f t="shared" si="108"/>
        <v>0</v>
      </c>
    </row>
    <row r="248" spans="1:31" x14ac:dyDescent="0.2">
      <c r="A248" s="347">
        <v>15049.75</v>
      </c>
      <c r="B248" s="364">
        <f t="shared" si="102"/>
        <v>15.04975</v>
      </c>
      <c r="C248" s="337">
        <f t="shared" si="83"/>
        <v>1.0288748596389163</v>
      </c>
      <c r="D248" s="338">
        <f t="shared" si="84"/>
        <v>0.23747320620590795</v>
      </c>
      <c r="E248" s="338">
        <f t="shared" si="85"/>
        <v>1.0000003950426017</v>
      </c>
      <c r="F248" s="339">
        <f t="shared" si="86"/>
        <v>8.8886722481193415E-4</v>
      </c>
      <c r="G248" s="338">
        <f t="shared" si="87"/>
        <v>1</v>
      </c>
      <c r="H248" s="339">
        <f t="shared" si="88"/>
        <v>0</v>
      </c>
      <c r="I248" s="337">
        <f t="shared" si="89"/>
        <v>108936.04597183991</v>
      </c>
      <c r="J248" s="340">
        <f t="shared" si="90"/>
        <v>1.570787147096927</v>
      </c>
      <c r="K248" s="348">
        <f t="shared" si="106"/>
        <v>2.6945019866639006</v>
      </c>
      <c r="L248" s="349">
        <f t="shared" si="107"/>
        <v>1.1905748963988567</v>
      </c>
      <c r="M248" s="337">
        <f t="shared" si="91"/>
        <v>1.0001092965661769</v>
      </c>
      <c r="N248" s="340">
        <f t="shared" si="92"/>
        <v>1.4784222152176311E-2</v>
      </c>
      <c r="O248" s="341">
        <f t="shared" si="93"/>
        <v>1.0000440073294423</v>
      </c>
      <c r="P248" s="342">
        <f t="shared" si="94"/>
        <v>2.2335816164373433E-2</v>
      </c>
      <c r="Q248" s="343">
        <f t="shared" si="95"/>
        <v>4.6394406280362219E-2</v>
      </c>
      <c r="R248" s="344">
        <f t="shared" si="96"/>
        <v>-37.466662980392719</v>
      </c>
      <c r="S248" s="346">
        <f t="shared" si="97"/>
        <v>142.53333701960727</v>
      </c>
      <c r="U248" s="319">
        <f t="shared" si="103"/>
        <v>1000000000</v>
      </c>
      <c r="V248" s="319">
        <f t="shared" si="104"/>
        <v>226494975.0625</v>
      </c>
      <c r="X248" s="345">
        <f t="shared" si="98"/>
        <v>5.57241312276728</v>
      </c>
      <c r="Y248" s="346">
        <f t="shared" si="99"/>
        <v>-22.631630842733347</v>
      </c>
      <c r="AA248" s="345">
        <f t="shared" si="100"/>
        <v>32.691948296859344</v>
      </c>
      <c r="AB248" s="346">
        <f t="shared" si="101"/>
        <v>-14.835032137659381</v>
      </c>
      <c r="AD248">
        <f t="shared" si="105"/>
        <v>0</v>
      </c>
      <c r="AE248">
        <f t="shared" si="108"/>
        <v>0</v>
      </c>
    </row>
    <row r="249" spans="1:31" x14ac:dyDescent="0.2">
      <c r="A249" s="347">
        <v>15136</v>
      </c>
      <c r="B249" s="364">
        <f t="shared" si="102"/>
        <v>15.135999999999999</v>
      </c>
      <c r="C249" s="337">
        <f t="shared" si="83"/>
        <v>1.0292020617093851</v>
      </c>
      <c r="D249" s="338">
        <f t="shared" si="84"/>
        <v>0.238783154973286</v>
      </c>
      <c r="E249" s="338">
        <f t="shared" si="85"/>
        <v>1.0000003995835478</v>
      </c>
      <c r="F249" s="339">
        <f t="shared" si="86"/>
        <v>8.9396131324603445E-4</v>
      </c>
      <c r="G249" s="338">
        <f t="shared" si="87"/>
        <v>1</v>
      </c>
      <c r="H249" s="339">
        <f t="shared" si="88"/>
        <v>0</v>
      </c>
      <c r="I249" s="337">
        <f t="shared" si="89"/>
        <v>109560.35760255015</v>
      </c>
      <c r="J249" s="340">
        <f t="shared" si="90"/>
        <v>1.5707871994059222</v>
      </c>
      <c r="K249" s="348">
        <f t="shared" si="106"/>
        <v>2.7078224651863301</v>
      </c>
      <c r="L249" s="349">
        <f t="shared" si="107"/>
        <v>1.1925402033756582</v>
      </c>
      <c r="M249" s="337">
        <f t="shared" si="91"/>
        <v>1.0001105528420429</v>
      </c>
      <c r="N249" s="340">
        <f t="shared" si="92"/>
        <v>1.4868937962155724E-2</v>
      </c>
      <c r="O249" s="341">
        <f t="shared" si="93"/>
        <v>1.0000445134202418</v>
      </c>
      <c r="P249" s="342">
        <f t="shared" si="94"/>
        <v>2.2463832657308822E-2</v>
      </c>
      <c r="Q249" s="343">
        <f t="shared" si="95"/>
        <v>3.6814207530427551E-2</v>
      </c>
      <c r="R249" s="344">
        <f t="shared" si="96"/>
        <v>-37.441013511334233</v>
      </c>
      <c r="S249" s="346">
        <f t="shared" si="97"/>
        <v>142.55898648866577</v>
      </c>
      <c r="U249" s="319">
        <f t="shared" si="103"/>
        <v>1000000000</v>
      </c>
      <c r="V249" s="319">
        <f t="shared" si="104"/>
        <v>229098496</v>
      </c>
      <c r="X249" s="345">
        <f t="shared" si="98"/>
        <v>5.5655991217018812</v>
      </c>
      <c r="Y249" s="346">
        <f t="shared" si="99"/>
        <v>-22.523883902846393</v>
      </c>
      <c r="AA249" s="345">
        <f t="shared" si="100"/>
        <v>32.689182099174808</v>
      </c>
      <c r="AB249" s="346">
        <f t="shared" si="101"/>
        <v>-14.917129608487841</v>
      </c>
      <c r="AD249">
        <f t="shared" si="105"/>
        <v>0</v>
      </c>
      <c r="AE249">
        <f t="shared" si="108"/>
        <v>0</v>
      </c>
    </row>
    <row r="250" spans="1:31" x14ac:dyDescent="0.2">
      <c r="A250" s="347">
        <v>15224</v>
      </c>
      <c r="B250" s="364">
        <f t="shared" si="102"/>
        <v>15.224</v>
      </c>
      <c r="C250" s="337">
        <f t="shared" si="83"/>
        <v>1.0295377216810344</v>
      </c>
      <c r="D250" s="338">
        <f t="shared" si="84"/>
        <v>0.24011882191081751</v>
      </c>
      <c r="E250" s="338">
        <f t="shared" si="85"/>
        <v>1.0000004042433741</v>
      </c>
      <c r="F250" s="339">
        <f t="shared" si="86"/>
        <v>8.9915875994836937E-4</v>
      </c>
      <c r="G250" s="338">
        <f t="shared" si="87"/>
        <v>1</v>
      </c>
      <c r="H250" s="339">
        <f t="shared" si="88"/>
        <v>0</v>
      </c>
      <c r="I250" s="337">
        <f t="shared" si="89"/>
        <v>110197.33642576789</v>
      </c>
      <c r="J250" s="340">
        <f t="shared" si="90"/>
        <v>1.5707872521653961</v>
      </c>
      <c r="K250" s="348">
        <f t="shared" si="106"/>
        <v>2.7214238869127709</v>
      </c>
      <c r="L250" s="349">
        <f t="shared" si="107"/>
        <v>1.194525549743823</v>
      </c>
      <c r="M250" s="337">
        <f t="shared" si="91"/>
        <v>1.0001118420050321</v>
      </c>
      <c r="N250" s="340">
        <f t="shared" si="92"/>
        <v>1.495537242365661E-2</v>
      </c>
      <c r="O250" s="341">
        <f t="shared" si="93"/>
        <v>1.0000450327658126</v>
      </c>
      <c r="P250" s="342">
        <f t="shared" si="94"/>
        <v>2.2594446764812544E-2</v>
      </c>
      <c r="Q250" s="343">
        <f t="shared" si="95"/>
        <v>2.7133204489923724E-2</v>
      </c>
      <c r="R250" s="344">
        <f t="shared" si="96"/>
        <v>-37.415930819982037</v>
      </c>
      <c r="S250" s="346">
        <f t="shared" si="97"/>
        <v>142.58406918001796</v>
      </c>
      <c r="U250" s="319">
        <f t="shared" si="103"/>
        <v>1000000000</v>
      </c>
      <c r="V250" s="319">
        <f t="shared" si="104"/>
        <v>231770176</v>
      </c>
      <c r="X250" s="345">
        <f t="shared" si="98"/>
        <v>5.5587549095107702</v>
      </c>
      <c r="Y250" s="346">
        <f t="shared" si="99"/>
        <v>-22.415087287698277</v>
      </c>
      <c r="AA250" s="345">
        <f t="shared" si="100"/>
        <v>32.686345308325414</v>
      </c>
      <c r="AB250" s="346">
        <f t="shared" si="101"/>
        <v>-15.000843532283758</v>
      </c>
      <c r="AD250">
        <f t="shared" si="105"/>
        <v>0</v>
      </c>
      <c r="AE250">
        <f t="shared" si="108"/>
        <v>0</v>
      </c>
    </row>
    <row r="251" spans="1:31" x14ac:dyDescent="0.2">
      <c r="A251" s="347">
        <v>15312</v>
      </c>
      <c r="B251" s="364">
        <f t="shared" si="102"/>
        <v>15.311999999999999</v>
      </c>
      <c r="C251" s="337">
        <f t="shared" si="83"/>
        <v>1.0298752171551724</v>
      </c>
      <c r="D251" s="338">
        <f t="shared" si="84"/>
        <v>0.24145361581830427</v>
      </c>
      <c r="E251" s="338">
        <f t="shared" si="85"/>
        <v>1.0000004089302135</v>
      </c>
      <c r="F251" s="339">
        <f t="shared" si="86"/>
        <v>9.0435620660212564E-4</v>
      </c>
      <c r="G251" s="338">
        <f t="shared" si="87"/>
        <v>1</v>
      </c>
      <c r="H251" s="339">
        <f t="shared" si="88"/>
        <v>0</v>
      </c>
      <c r="I251" s="337">
        <f t="shared" si="89"/>
        <v>110834.31524898593</v>
      </c>
      <c r="J251" s="340">
        <f t="shared" si="90"/>
        <v>1.570787304318439</v>
      </c>
      <c r="K251" s="348">
        <f t="shared" si="106"/>
        <v>2.7350359286905372</v>
      </c>
      <c r="L251" s="349">
        <f t="shared" si="107"/>
        <v>1.196491141994575</v>
      </c>
      <c r="M251" s="337">
        <f t="shared" si="91"/>
        <v>1.0001131386397537</v>
      </c>
      <c r="N251" s="340">
        <f t="shared" si="92"/>
        <v>1.5041806661680746E-2</v>
      </c>
      <c r="O251" s="341">
        <f t="shared" si="93"/>
        <v>1.0000455551277336</v>
      </c>
      <c r="P251" s="342">
        <f t="shared" si="94"/>
        <v>2.2725061053627732E-2</v>
      </c>
      <c r="Q251" s="343">
        <f t="shared" si="95"/>
        <v>1.7544533669569325E-2</v>
      </c>
      <c r="R251" s="344">
        <f t="shared" si="96"/>
        <v>-37.391929898090837</v>
      </c>
      <c r="S251" s="346">
        <f t="shared" si="97"/>
        <v>142.60807010190916</v>
      </c>
      <c r="U251" s="319">
        <f t="shared" si="103"/>
        <v>1000000000</v>
      </c>
      <c r="V251" s="319">
        <f t="shared" si="104"/>
        <v>234457344</v>
      </c>
      <c r="X251" s="345">
        <f t="shared" si="98"/>
        <v>5.5520176127337963</v>
      </c>
      <c r="Y251" s="346">
        <f t="shared" si="99"/>
        <v>-22.307422452556999</v>
      </c>
      <c r="AA251" s="345">
        <f t="shared" si="100"/>
        <v>32.683493934282033</v>
      </c>
      <c r="AB251" s="346">
        <f t="shared" si="101"/>
        <v>-15.084507445533834</v>
      </c>
      <c r="AD251">
        <f t="shared" si="105"/>
        <v>0</v>
      </c>
      <c r="AE251">
        <f t="shared" si="108"/>
        <v>0</v>
      </c>
    </row>
    <row r="252" spans="1:31" x14ac:dyDescent="0.2">
      <c r="A252" s="347">
        <v>15400</v>
      </c>
      <c r="B252" s="364">
        <f t="shared" si="102"/>
        <v>15.4</v>
      </c>
      <c r="C252" s="337">
        <f t="shared" si="83"/>
        <v>1.0302145463278822</v>
      </c>
      <c r="D252" s="338">
        <f t="shared" si="84"/>
        <v>0.24278753279976209</v>
      </c>
      <c r="E252" s="338">
        <f t="shared" si="85"/>
        <v>1.0000004136440666</v>
      </c>
      <c r="F252" s="339">
        <f t="shared" si="86"/>
        <v>9.0955365320702223E-4</v>
      </c>
      <c r="G252" s="338">
        <f t="shared" si="87"/>
        <v>1</v>
      </c>
      <c r="H252" s="339">
        <f t="shared" si="88"/>
        <v>0</v>
      </c>
      <c r="I252" s="337">
        <f t="shared" si="89"/>
        <v>111471.29407220427</v>
      </c>
      <c r="J252" s="340">
        <f t="shared" si="90"/>
        <v>1.5707873558754475</v>
      </c>
      <c r="K252" s="348">
        <f t="shared" si="106"/>
        <v>2.7486584327402075</v>
      </c>
      <c r="L252" s="349">
        <f t="shared" si="107"/>
        <v>1.1984372585332801</v>
      </c>
      <c r="M252" s="337">
        <f t="shared" si="91"/>
        <v>1.0001144427461788</v>
      </c>
      <c r="N252" s="340">
        <f t="shared" si="92"/>
        <v>1.5128240674937524E-2</v>
      </c>
      <c r="O252" s="341">
        <f t="shared" si="93"/>
        <v>1.0000460805061027</v>
      </c>
      <c r="P252" s="342">
        <f t="shared" si="94"/>
        <v>2.2855675524800497E-2</v>
      </c>
      <c r="Q252" s="343">
        <f t="shared" si="95"/>
        <v>8.0460515241383458E-3</v>
      </c>
      <c r="R252" s="344">
        <f t="shared" si="96"/>
        <v>-37.36899457156639</v>
      </c>
      <c r="S252" s="346">
        <f t="shared" si="97"/>
        <v>142.63100542843361</v>
      </c>
      <c r="U252" s="319">
        <f t="shared" si="103"/>
        <v>1000000000</v>
      </c>
      <c r="V252" s="319">
        <f t="shared" si="104"/>
        <v>237160000</v>
      </c>
      <c r="X252" s="345">
        <f t="shared" si="98"/>
        <v>5.5453850580050377</v>
      </c>
      <c r="Y252" s="346">
        <f t="shared" si="99"/>
        <v>-22.200873446491826</v>
      </c>
      <c r="AA252" s="345">
        <f t="shared" si="100"/>
        <v>32.680628006865362</v>
      </c>
      <c r="AB252" s="346">
        <f t="shared" si="101"/>
        <v>-15.168121125074569</v>
      </c>
      <c r="AD252">
        <f t="shared" si="105"/>
        <v>15400</v>
      </c>
      <c r="AE252">
        <f t="shared" si="108"/>
        <v>142.63100542843361</v>
      </c>
    </row>
    <row r="253" spans="1:31" x14ac:dyDescent="0.2">
      <c r="A253" s="347">
        <v>15488</v>
      </c>
      <c r="B253" s="364">
        <f t="shared" si="102"/>
        <v>15.488</v>
      </c>
      <c r="C253" s="337">
        <f t="shared" si="83"/>
        <v>1.030555707387828</v>
      </c>
      <c r="D253" s="338">
        <f t="shared" si="84"/>
        <v>0.24412056897680695</v>
      </c>
      <c r="E253" s="338">
        <f t="shared" si="85"/>
        <v>1.0000004183849331</v>
      </c>
      <c r="F253" s="339">
        <f t="shared" si="86"/>
        <v>9.1475109976277844E-4</v>
      </c>
      <c r="G253" s="338">
        <f t="shared" si="87"/>
        <v>1</v>
      </c>
      <c r="H253" s="339">
        <f t="shared" si="88"/>
        <v>0</v>
      </c>
      <c r="I253" s="337">
        <f t="shared" si="89"/>
        <v>112108.27289542288</v>
      </c>
      <c r="J253" s="340">
        <f t="shared" si="90"/>
        <v>1.5707874068465808</v>
      </c>
      <c r="K253" s="348">
        <f t="shared" si="106"/>
        <v>2.7622912442746972</v>
      </c>
      <c r="L253" s="349">
        <f t="shared" si="107"/>
        <v>1.2003641728656607</v>
      </c>
      <c r="M253" s="337">
        <f t="shared" si="91"/>
        <v>1.000115754324278</v>
      </c>
      <c r="N253" s="340">
        <f t="shared" si="92"/>
        <v>1.521467446213636E-2</v>
      </c>
      <c r="O253" s="341">
        <f t="shared" si="93"/>
        <v>1.0000466089010185</v>
      </c>
      <c r="P253" s="342">
        <f t="shared" si="94"/>
        <v>2.2986290179376912E-2</v>
      </c>
      <c r="Q253" s="343">
        <f t="shared" si="95"/>
        <v>-1.3643316587307593E-3</v>
      </c>
      <c r="R253" s="344">
        <f t="shared" si="96"/>
        <v>-37.347108948038176</v>
      </c>
      <c r="S253" s="346">
        <f t="shared" si="97"/>
        <v>142.65289105196183</v>
      </c>
      <c r="U253" s="319">
        <f t="shared" si="103"/>
        <v>15488</v>
      </c>
      <c r="V253" s="319">
        <f t="shared" si="104"/>
        <v>239878144</v>
      </c>
      <c r="X253" s="345">
        <f t="shared" si="98"/>
        <v>5.5388551256857301</v>
      </c>
      <c r="Y253" s="346">
        <f t="shared" si="99"/>
        <v>-22.095424599287298</v>
      </c>
      <c r="AA253" s="345">
        <f t="shared" si="100"/>
        <v>32.677747556001805</v>
      </c>
      <c r="AB253" s="346">
        <f t="shared" si="101"/>
        <v>-15.251684348750876</v>
      </c>
      <c r="AD253">
        <f t="shared" si="105"/>
        <v>0</v>
      </c>
      <c r="AE253">
        <f t="shared" si="108"/>
        <v>0</v>
      </c>
    </row>
    <row r="254" spans="1:31" x14ac:dyDescent="0.2">
      <c r="A254" s="347">
        <v>15578.25</v>
      </c>
      <c r="B254" s="364">
        <f t="shared" si="102"/>
        <v>15.578250000000001</v>
      </c>
      <c r="C254" s="337">
        <f t="shared" si="83"/>
        <v>1.030907492153635</v>
      </c>
      <c r="D254" s="338">
        <f t="shared" si="84"/>
        <v>0.24548676954789653</v>
      </c>
      <c r="E254" s="338">
        <f t="shared" si="85"/>
        <v>1.0000004232750734</v>
      </c>
      <c r="F254" s="339">
        <f t="shared" si="86"/>
        <v>9.2008143552572736E-4</v>
      </c>
      <c r="G254" s="338">
        <f t="shared" si="87"/>
        <v>1</v>
      </c>
      <c r="H254" s="339">
        <f t="shared" si="88"/>
        <v>0</v>
      </c>
      <c r="I254" s="337">
        <f t="shared" si="89"/>
        <v>112761.53810900818</v>
      </c>
      <c r="J254" s="340">
        <f t="shared" si="90"/>
        <v>1.5707874585228174</v>
      </c>
      <c r="K254" s="348">
        <f t="shared" si="106"/>
        <v>2.7762831691212417</v>
      </c>
      <c r="L254" s="349">
        <f t="shared" si="107"/>
        <v>1.2023206914086635</v>
      </c>
      <c r="M254" s="337">
        <f t="shared" si="91"/>
        <v>1.0001171071976855</v>
      </c>
      <c r="N254" s="340">
        <f t="shared" si="92"/>
        <v>1.5303317967967949E-2</v>
      </c>
      <c r="O254" s="341">
        <f t="shared" si="93"/>
        <v>1.0000471539393596</v>
      </c>
      <c r="P254" s="342">
        <f t="shared" si="94"/>
        <v>2.3120244604782951E-2</v>
      </c>
      <c r="Q254" s="343">
        <f t="shared" si="95"/>
        <v>-1.0925948607737639E-2</v>
      </c>
      <c r="R254" s="344">
        <f t="shared" si="96"/>
        <v>-37.325737696728325</v>
      </c>
      <c r="S254" s="346">
        <f t="shared" si="97"/>
        <v>142.67426230327169</v>
      </c>
      <c r="U254" s="319">
        <f t="shared" si="103"/>
        <v>15578.25</v>
      </c>
      <c r="V254" s="319">
        <f t="shared" si="104"/>
        <v>242681873.0625</v>
      </c>
      <c r="X254" s="345">
        <f t="shared" si="98"/>
        <v>5.5322626612337178</v>
      </c>
      <c r="Y254" s="346">
        <f t="shared" si="99"/>
        <v>-21.98840620370752</v>
      </c>
      <c r="AA254" s="345">
        <f t="shared" si="100"/>
        <v>32.67477840350481</v>
      </c>
      <c r="AB254" s="346">
        <f t="shared" si="101"/>
        <v>-15.337331493020796</v>
      </c>
      <c r="AD254">
        <f t="shared" si="105"/>
        <v>0</v>
      </c>
      <c r="AE254">
        <f t="shared" si="108"/>
        <v>0</v>
      </c>
    </row>
    <row r="255" spans="1:31" x14ac:dyDescent="0.2">
      <c r="A255" s="347">
        <v>15668.5</v>
      </c>
      <c r="B255" s="364">
        <f t="shared" si="102"/>
        <v>15.6685</v>
      </c>
      <c r="C255" s="337">
        <f t="shared" si="83"/>
        <v>1.0312611997975414</v>
      </c>
      <c r="D255" s="338">
        <f t="shared" si="84"/>
        <v>0.24685203549182055</v>
      </c>
      <c r="E255" s="338">
        <f t="shared" si="85"/>
        <v>1.0000004281936259</v>
      </c>
      <c r="F255" s="339">
        <f t="shared" si="86"/>
        <v>9.2541177123639257E-4</v>
      </c>
      <c r="G255" s="338">
        <f t="shared" si="87"/>
        <v>1</v>
      </c>
      <c r="H255" s="339">
        <f t="shared" si="88"/>
        <v>0</v>
      </c>
      <c r="I255" s="337">
        <f t="shared" si="89"/>
        <v>113414.80332259378</v>
      </c>
      <c r="J255" s="340">
        <f t="shared" si="90"/>
        <v>1.5707875096037478</v>
      </c>
      <c r="K255" s="348">
        <f t="shared" si="106"/>
        <v>2.7902856148748376</v>
      </c>
      <c r="L255" s="349">
        <f t="shared" si="107"/>
        <v>1.204257580572607</v>
      </c>
      <c r="M255" s="337">
        <f t="shared" si="91"/>
        <v>1.0001184679296631</v>
      </c>
      <c r="N255" s="340">
        <f t="shared" si="92"/>
        <v>1.5391961233284537E-2</v>
      </c>
      <c r="O255" s="341">
        <f t="shared" si="93"/>
        <v>1.0000477021506864</v>
      </c>
      <c r="P255" s="342">
        <f t="shared" si="94"/>
        <v>2.3254199225319652E-2</v>
      </c>
      <c r="Q255" s="343">
        <f t="shared" si="95"/>
        <v>-2.0399188949663648E-2</v>
      </c>
      <c r="R255" s="344">
        <f t="shared" si="96"/>
        <v>-37.305437539096374</v>
      </c>
      <c r="S255" s="346">
        <f t="shared" si="97"/>
        <v>142.69456246090363</v>
      </c>
      <c r="U255" s="319">
        <f t="shared" si="103"/>
        <v>15668.5</v>
      </c>
      <c r="V255" s="319">
        <f t="shared" si="104"/>
        <v>245501892.25</v>
      </c>
      <c r="X255" s="345">
        <f t="shared" si="98"/>
        <v>5.5257737849120012</v>
      </c>
      <c r="Y255" s="346">
        <f t="shared" si="99"/>
        <v>-21.882512440814544</v>
      </c>
      <c r="AA255" s="345">
        <f t="shared" si="100"/>
        <v>32.671794039484595</v>
      </c>
      <c r="AB255" s="346">
        <f t="shared" si="101"/>
        <v>-15.422925098281814</v>
      </c>
      <c r="AD255">
        <f t="shared" si="105"/>
        <v>0</v>
      </c>
      <c r="AE255">
        <f t="shared" si="108"/>
        <v>0</v>
      </c>
    </row>
    <row r="256" spans="1:31" x14ac:dyDescent="0.2">
      <c r="A256" s="347">
        <v>15758.75</v>
      </c>
      <c r="B256" s="364">
        <f t="shared" si="102"/>
        <v>15.758749999999999</v>
      </c>
      <c r="C256" s="337">
        <f t="shared" si="83"/>
        <v>1.0316168283416707</v>
      </c>
      <c r="D256" s="338">
        <f t="shared" si="84"/>
        <v>0.24821636268298797</v>
      </c>
      <c r="E256" s="338">
        <f t="shared" si="85"/>
        <v>1.0000004331405912</v>
      </c>
      <c r="F256" s="339">
        <f t="shared" si="86"/>
        <v>9.3074210689447138E-4</v>
      </c>
      <c r="G256" s="338">
        <f t="shared" si="87"/>
        <v>1</v>
      </c>
      <c r="H256" s="339">
        <f t="shared" si="88"/>
        <v>0</v>
      </c>
      <c r="I256" s="337">
        <f t="shared" si="89"/>
        <v>114068.06853617968</v>
      </c>
      <c r="J256" s="340">
        <f t="shared" si="90"/>
        <v>1.5707875600995993</v>
      </c>
      <c r="K256" s="348">
        <f t="shared" si="106"/>
        <v>2.8042984239362529</v>
      </c>
      <c r="L256" s="349">
        <f t="shared" si="107"/>
        <v>1.2061751199733957</v>
      </c>
      <c r="M256" s="337">
        <f t="shared" si="91"/>
        <v>1.0001198365201789</v>
      </c>
      <c r="N256" s="340">
        <f t="shared" si="92"/>
        <v>1.5480604256694053E-2</v>
      </c>
      <c r="O256" s="341">
        <f t="shared" si="93"/>
        <v>1.000048253535107</v>
      </c>
      <c r="P256" s="342">
        <f t="shared" si="94"/>
        <v>2.3388154042115288E-2</v>
      </c>
      <c r="Q256" s="343">
        <f t="shared" si="95"/>
        <v>-2.9786140445892794E-2</v>
      </c>
      <c r="R256" s="344">
        <f t="shared" si="96"/>
        <v>-37.28619221852302</v>
      </c>
      <c r="S256" s="346">
        <f t="shared" si="97"/>
        <v>142.71380778147699</v>
      </c>
      <c r="U256" s="319">
        <f t="shared" si="103"/>
        <v>15758.75</v>
      </c>
      <c r="V256" s="319">
        <f t="shared" si="104"/>
        <v>248338201.5625</v>
      </c>
      <c r="X256" s="345">
        <f t="shared" si="98"/>
        <v>5.519386376337998</v>
      </c>
      <c r="Y256" s="346">
        <f t="shared" si="99"/>
        <v>-21.777727290303392</v>
      </c>
      <c r="AA256" s="345">
        <f t="shared" si="100"/>
        <v>32.66879449656237</v>
      </c>
      <c r="AB256" s="346">
        <f t="shared" si="101"/>
        <v>-15.508464928219633</v>
      </c>
      <c r="AD256">
        <f t="shared" si="105"/>
        <v>0</v>
      </c>
      <c r="AE256">
        <f t="shared" si="108"/>
        <v>0</v>
      </c>
    </row>
    <row r="257" spans="1:31" x14ac:dyDescent="0.2">
      <c r="A257" s="347">
        <v>15849</v>
      </c>
      <c r="B257" s="364">
        <f t="shared" si="102"/>
        <v>15.849</v>
      </c>
      <c r="C257" s="337">
        <f t="shared" si="83"/>
        <v>1.0319743758001398</v>
      </c>
      <c r="D257" s="338">
        <f t="shared" si="84"/>
        <v>0.24957974701545813</v>
      </c>
      <c r="E257" s="338">
        <f t="shared" si="85"/>
        <v>1.0000004381159688</v>
      </c>
      <c r="F257" s="339">
        <f t="shared" si="86"/>
        <v>9.3607244249966075E-4</v>
      </c>
      <c r="G257" s="338">
        <f t="shared" si="87"/>
        <v>1</v>
      </c>
      <c r="H257" s="339">
        <f t="shared" si="88"/>
        <v>0</v>
      </c>
      <c r="I257" s="337">
        <f t="shared" si="89"/>
        <v>114721.33374976586</v>
      </c>
      <c r="J257" s="340">
        <f t="shared" si="90"/>
        <v>1.5707876100203673</v>
      </c>
      <c r="K257" s="348">
        <f t="shared" si="106"/>
        <v>2.8183214417251254</v>
      </c>
      <c r="L257" s="349">
        <f t="shared" si="107"/>
        <v>1.2080735842372128</v>
      </c>
      <c r="M257" s="337">
        <f t="shared" si="91"/>
        <v>1.0001212129692001</v>
      </c>
      <c r="N257" s="340">
        <f t="shared" si="92"/>
        <v>1.5569247036804458E-2</v>
      </c>
      <c r="O257" s="341">
        <f t="shared" si="93"/>
        <v>1.0000488080927303</v>
      </c>
      <c r="P257" s="342">
        <f t="shared" si="94"/>
        <v>2.352210905629808E-2</v>
      </c>
      <c r="Q257" s="343">
        <f t="shared" si="95"/>
        <v>-3.9088837923104407E-2</v>
      </c>
      <c r="R257" s="344">
        <f t="shared" si="96"/>
        <v>-37.267985765391572</v>
      </c>
      <c r="S257" s="346">
        <f t="shared" si="97"/>
        <v>142.73201423460841</v>
      </c>
      <c r="U257" s="319">
        <f t="shared" si="103"/>
        <v>15849</v>
      </c>
      <c r="V257" s="319">
        <f t="shared" si="104"/>
        <v>251190801</v>
      </c>
      <c r="X257" s="345">
        <f t="shared" si="98"/>
        <v>5.5130983679512067</v>
      </c>
      <c r="Y257" s="346">
        <f t="shared" si="99"/>
        <v>-21.67403501774573</v>
      </c>
      <c r="AA257" s="345">
        <f t="shared" si="100"/>
        <v>32.665779807471949</v>
      </c>
      <c r="AB257" s="346">
        <f t="shared" si="101"/>
        <v>-15.593950747645838</v>
      </c>
      <c r="AD257">
        <f t="shared" si="105"/>
        <v>0</v>
      </c>
      <c r="AE257">
        <f t="shared" si="108"/>
        <v>0</v>
      </c>
    </row>
    <row r="258" spans="1:31" x14ac:dyDescent="0.2">
      <c r="A258" s="347">
        <v>15941.25</v>
      </c>
      <c r="B258" s="364">
        <f t="shared" si="102"/>
        <v>15.94125</v>
      </c>
      <c r="C258" s="337">
        <f t="shared" si="83"/>
        <v>1.0323418278442695</v>
      </c>
      <c r="D258" s="338">
        <f t="shared" si="84"/>
        <v>0.25097236616520108</v>
      </c>
      <c r="E258" s="338">
        <f t="shared" si="85"/>
        <v>1.0000004432309679</v>
      </c>
      <c r="F258" s="339">
        <f t="shared" si="86"/>
        <v>9.4152090183059875E-4</v>
      </c>
      <c r="G258" s="338">
        <f t="shared" si="87"/>
        <v>1</v>
      </c>
      <c r="H258" s="339">
        <f t="shared" si="88"/>
        <v>0</v>
      </c>
      <c r="I258" s="337">
        <f t="shared" si="89"/>
        <v>115389.07575478916</v>
      </c>
      <c r="J258" s="340">
        <f t="shared" si="90"/>
        <v>1.5707876604632403</v>
      </c>
      <c r="K258" s="348">
        <f t="shared" si="106"/>
        <v>2.8326656116444235</v>
      </c>
      <c r="L258" s="349">
        <f t="shared" si="107"/>
        <v>1.209994686637575</v>
      </c>
      <c r="M258" s="337">
        <f t="shared" si="91"/>
        <v>1.000122628042873</v>
      </c>
      <c r="N258" s="340">
        <f t="shared" si="92"/>
        <v>1.5659853946957975E-2</v>
      </c>
      <c r="O258" s="341">
        <f t="shared" si="93"/>
        <v>1.0000493782192952</v>
      </c>
      <c r="P258" s="342">
        <f t="shared" si="94"/>
        <v>2.3659032807822687E-2</v>
      </c>
      <c r="Q258" s="343">
        <f t="shared" si="95"/>
        <v>-4.8512678668409512E-2</v>
      </c>
      <c r="R258" s="344">
        <f t="shared" si="96"/>
        <v>-37.250433168630856</v>
      </c>
      <c r="S258" s="346">
        <f t="shared" si="97"/>
        <v>142.74956683136915</v>
      </c>
      <c r="U258" s="319">
        <f t="shared" si="103"/>
        <v>15941.25</v>
      </c>
      <c r="V258" s="319">
        <f t="shared" si="104"/>
        <v>254123451.5625</v>
      </c>
      <c r="X258" s="345">
        <f t="shared" si="98"/>
        <v>5.506771642975151</v>
      </c>
      <c r="Y258" s="346">
        <f t="shared" si="99"/>
        <v>-21.569158241782922</v>
      </c>
      <c r="AA258" s="345">
        <f t="shared" si="100"/>
        <v>32.662682691702699</v>
      </c>
      <c r="AB258" s="346">
        <f t="shared" si="101"/>
        <v>-15.681274926847935</v>
      </c>
      <c r="AD258">
        <f t="shared" si="105"/>
        <v>0</v>
      </c>
      <c r="AE258">
        <f t="shared" si="108"/>
        <v>0</v>
      </c>
    </row>
    <row r="259" spans="1:31" x14ac:dyDescent="0.2">
      <c r="A259" s="347">
        <v>16033.5</v>
      </c>
      <c r="B259" s="364">
        <f t="shared" si="102"/>
        <v>16.0335</v>
      </c>
      <c r="C259" s="337">
        <f t="shared" si="83"/>
        <v>1.0327112805728331</v>
      </c>
      <c r="D259" s="338">
        <f t="shared" si="84"/>
        <v>0.25236399159251649</v>
      </c>
      <c r="E259" s="338">
        <f t="shared" si="85"/>
        <v>1.0000004483756531</v>
      </c>
      <c r="F259" s="339">
        <f t="shared" si="86"/>
        <v>9.4696936110563723E-4</v>
      </c>
      <c r="G259" s="338">
        <f t="shared" si="87"/>
        <v>1</v>
      </c>
      <c r="H259" s="339">
        <f t="shared" si="88"/>
        <v>0</v>
      </c>
      <c r="I259" s="337">
        <f t="shared" si="89"/>
        <v>116056.81775981274</v>
      </c>
      <c r="J259" s="340">
        <f t="shared" si="90"/>
        <v>1.5707877103256593</v>
      </c>
      <c r="K259" s="348">
        <f t="shared" si="106"/>
        <v>2.8470201305302458</v>
      </c>
      <c r="L259" s="349">
        <f t="shared" si="107"/>
        <v>1.2118964238124643</v>
      </c>
      <c r="M259" s="337">
        <f t="shared" si="91"/>
        <v>1.0001240513271414</v>
      </c>
      <c r="N259" s="340">
        <f t="shared" si="92"/>
        <v>1.5750460599968544E-2</v>
      </c>
      <c r="O259" s="341">
        <f t="shared" si="93"/>
        <v>1.0000499516614936</v>
      </c>
      <c r="P259" s="342">
        <f t="shared" si="94"/>
        <v>2.3795956767963436E-2</v>
      </c>
      <c r="Q259" s="343">
        <f t="shared" si="95"/>
        <v>-5.7852626253367137E-2</v>
      </c>
      <c r="R259" s="344">
        <f t="shared" si="96"/>
        <v>-37.233933145424437</v>
      </c>
      <c r="S259" s="346">
        <f t="shared" si="97"/>
        <v>142.76606685457557</v>
      </c>
      <c r="U259" s="319">
        <f t="shared" si="103"/>
        <v>16033.5</v>
      </c>
      <c r="V259" s="319">
        <f t="shared" si="104"/>
        <v>257073122.25</v>
      </c>
      <c r="X259" s="345">
        <f t="shared" si="98"/>
        <v>5.5005445665493911</v>
      </c>
      <c r="Y259" s="346">
        <f t="shared" si="99"/>
        <v>-21.46539096351955</v>
      </c>
      <c r="AA259" s="345">
        <f t="shared" si="100"/>
        <v>32.659569820543503</v>
      </c>
      <c r="AB259" s="346">
        <f t="shared" si="101"/>
        <v>-15.768542181904891</v>
      </c>
      <c r="AD259">
        <f t="shared" si="105"/>
        <v>0</v>
      </c>
      <c r="AE259">
        <f t="shared" si="108"/>
        <v>0</v>
      </c>
    </row>
    <row r="260" spans="1:31" x14ac:dyDescent="0.2">
      <c r="A260" s="347">
        <v>16125.75</v>
      </c>
      <c r="B260" s="364">
        <f t="shared" si="102"/>
        <v>16.12575</v>
      </c>
      <c r="C260" s="337">
        <f t="shared" si="83"/>
        <v>1.0330827318393663</v>
      </c>
      <c r="D260" s="338">
        <f t="shared" si="84"/>
        <v>0.25375461897633372</v>
      </c>
      <c r="E260" s="338">
        <f t="shared" si="85"/>
        <v>1.0000004535500238</v>
      </c>
      <c r="F260" s="339">
        <f t="shared" si="86"/>
        <v>9.524178203244529E-4</v>
      </c>
      <c r="G260" s="338">
        <f t="shared" si="87"/>
        <v>1</v>
      </c>
      <c r="H260" s="339">
        <f t="shared" si="88"/>
        <v>0</v>
      </c>
      <c r="I260" s="337">
        <f t="shared" si="89"/>
        <v>116724.55976483659</v>
      </c>
      <c r="J260" s="340">
        <f t="shared" si="90"/>
        <v>1.5707877596175859</v>
      </c>
      <c r="K260" s="348">
        <f t="shared" si="106"/>
        <v>2.8613848426316832</v>
      </c>
      <c r="L260" s="349">
        <f t="shared" si="107"/>
        <v>1.2137790735534497</v>
      </c>
      <c r="M260" s="337">
        <f t="shared" si="91"/>
        <v>1.0001254828219703</v>
      </c>
      <c r="N260" s="340">
        <f t="shared" si="92"/>
        <v>1.584106699434959E-2</v>
      </c>
      <c r="O260" s="341">
        <f t="shared" si="93"/>
        <v>1.0000505284194436</v>
      </c>
      <c r="P260" s="342">
        <f t="shared" si="94"/>
        <v>2.3932880937925102E-2</v>
      </c>
      <c r="Q260" s="343">
        <f t="shared" si="95"/>
        <v>-6.7110692170237907E-2</v>
      </c>
      <c r="R260" s="344">
        <f t="shared" si="96"/>
        <v>-37.218469532463295</v>
      </c>
      <c r="S260" s="346">
        <f t="shared" si="97"/>
        <v>142.7815304675367</v>
      </c>
      <c r="U260" s="319">
        <f t="shared" si="103"/>
        <v>16125.75</v>
      </c>
      <c r="V260" s="319">
        <f t="shared" si="104"/>
        <v>260039813.0625</v>
      </c>
      <c r="X260" s="345">
        <f t="shared" si="98"/>
        <v>5.4944150918652346</v>
      </c>
      <c r="Y260" s="346">
        <f t="shared" si="99"/>
        <v>-21.362717267156654</v>
      </c>
      <c r="AA260" s="345">
        <f t="shared" si="100"/>
        <v>32.656441229310786</v>
      </c>
      <c r="AB260" s="346">
        <f t="shared" si="101"/>
        <v>-15.855752265306638</v>
      </c>
      <c r="AD260">
        <f t="shared" si="105"/>
        <v>0</v>
      </c>
      <c r="AE260">
        <f t="shared" si="108"/>
        <v>0</v>
      </c>
    </row>
    <row r="261" spans="1:31" x14ac:dyDescent="0.2">
      <c r="A261" s="347">
        <v>16218</v>
      </c>
      <c r="B261" s="364">
        <f t="shared" si="102"/>
        <v>16.218</v>
      </c>
      <c r="C261" s="337">
        <f t="shared" si="83"/>
        <v>1.0334561794888881</v>
      </c>
      <c r="D261" s="338">
        <f t="shared" si="84"/>
        <v>0.25514424401721808</v>
      </c>
      <c r="E261" s="338">
        <f t="shared" si="85"/>
        <v>1.0000004587540801</v>
      </c>
      <c r="F261" s="339">
        <f t="shared" si="86"/>
        <v>9.5786627948672189E-4</v>
      </c>
      <c r="G261" s="338">
        <f t="shared" si="87"/>
        <v>1</v>
      </c>
      <c r="H261" s="339">
        <f t="shared" si="88"/>
        <v>0</v>
      </c>
      <c r="I261" s="337">
        <f t="shared" si="89"/>
        <v>117392.30176986076</v>
      </c>
      <c r="J261" s="340">
        <f t="shared" si="90"/>
        <v>1.5707878083487554</v>
      </c>
      <c r="K261" s="348">
        <f t="shared" si="106"/>
        <v>2.8757595952002872</v>
      </c>
      <c r="L261" s="349">
        <f t="shared" si="107"/>
        <v>1.2156429086449851</v>
      </c>
      <c r="M261" s="337">
        <f t="shared" si="91"/>
        <v>1.0001269225273246</v>
      </c>
      <c r="N261" s="340">
        <f t="shared" si="92"/>
        <v>1.5931673128614553E-2</v>
      </c>
      <c r="O261" s="341">
        <f t="shared" si="93"/>
        <v>1.0000511084932642</v>
      </c>
      <c r="P261" s="342">
        <f t="shared" si="94"/>
        <v>2.4069805318912448E-2</v>
      </c>
      <c r="Q261" s="343">
        <f t="shared" si="95"/>
        <v>-7.628883658923892E-2</v>
      </c>
      <c r="R261" s="344">
        <f t="shared" si="96"/>
        <v>-37.204026454551681</v>
      </c>
      <c r="S261" s="346">
        <f t="shared" si="97"/>
        <v>142.79597354544831</v>
      </c>
      <c r="U261" s="319">
        <f t="shared" si="103"/>
        <v>16218</v>
      </c>
      <c r="V261" s="319">
        <f t="shared" si="104"/>
        <v>263023524</v>
      </c>
      <c r="X261" s="345">
        <f t="shared" si="98"/>
        <v>5.4883812233178624</v>
      </c>
      <c r="Y261" s="346">
        <f t="shared" si="99"/>
        <v>-21.261121523768928</v>
      </c>
      <c r="AA261" s="345">
        <f t="shared" si="100"/>
        <v>32.65329695343916</v>
      </c>
      <c r="AB261" s="346">
        <f t="shared" si="101"/>
        <v>-15.94290493078276</v>
      </c>
      <c r="AD261">
        <f t="shared" si="105"/>
        <v>0</v>
      </c>
      <c r="AE261">
        <f t="shared" si="108"/>
        <v>0</v>
      </c>
    </row>
    <row r="262" spans="1:31" x14ac:dyDescent="0.2">
      <c r="A262" s="347">
        <v>16312.5</v>
      </c>
      <c r="B262" s="364">
        <f t="shared" si="102"/>
        <v>16.3125</v>
      </c>
      <c r="C262" s="337">
        <f t="shared" si="83"/>
        <v>1.0338408033713395</v>
      </c>
      <c r="D262" s="338">
        <f t="shared" si="84"/>
        <v>0.25656671856817531</v>
      </c>
      <c r="E262" s="338">
        <f t="shared" si="85"/>
        <v>1.0000004641158453</v>
      </c>
      <c r="F262" s="339">
        <f t="shared" si="86"/>
        <v>9.6344762783788127E-4</v>
      </c>
      <c r="G262" s="338">
        <f t="shared" si="87"/>
        <v>1</v>
      </c>
      <c r="H262" s="339">
        <f t="shared" si="88"/>
        <v>0</v>
      </c>
      <c r="I262" s="337">
        <f t="shared" si="89"/>
        <v>118076.33016525162</v>
      </c>
      <c r="J262" s="340">
        <f t="shared" si="90"/>
        <v>1.5707878576969951</v>
      </c>
      <c r="K262" s="348">
        <f t="shared" si="106"/>
        <v>2.8904952056924227</v>
      </c>
      <c r="L262" s="349">
        <f t="shared" si="107"/>
        <v>1.217532974532509</v>
      </c>
      <c r="M262" s="337">
        <f t="shared" si="91"/>
        <v>1.0001284058607591</v>
      </c>
      <c r="N262" s="340">
        <f t="shared" si="92"/>
        <v>1.6024488897329513E-2</v>
      </c>
      <c r="O262" s="341">
        <f t="shared" si="93"/>
        <v>1.0000517061535206</v>
      </c>
      <c r="P262" s="342">
        <f t="shared" si="94"/>
        <v>2.4210069539016447E-2</v>
      </c>
      <c r="Q262" s="343">
        <f t="shared" si="95"/>
        <v>-8.5609965563369014E-2</v>
      </c>
      <c r="R262" s="344">
        <f t="shared" si="96"/>
        <v>-37.190272983803446</v>
      </c>
      <c r="S262" s="346">
        <f t="shared" si="97"/>
        <v>142.80972701619655</v>
      </c>
      <c r="U262" s="319">
        <f t="shared" si="103"/>
        <v>16312.5</v>
      </c>
      <c r="V262" s="319">
        <f t="shared" si="104"/>
        <v>266097656.25</v>
      </c>
      <c r="X262" s="345">
        <f t="shared" si="98"/>
        <v>5.4822972858399712</v>
      </c>
      <c r="Y262" s="346">
        <f t="shared" si="99"/>
        <v>-21.158149504559994</v>
      </c>
      <c r="AA262" s="345">
        <f t="shared" si="100"/>
        <v>32.650059761942927</v>
      </c>
      <c r="AB262" s="346">
        <f t="shared" si="101"/>
        <v>-16.032123479243463</v>
      </c>
      <c r="AD262">
        <f t="shared" si="105"/>
        <v>0</v>
      </c>
      <c r="AE262">
        <f t="shared" si="108"/>
        <v>0</v>
      </c>
    </row>
    <row r="263" spans="1:31" x14ac:dyDescent="0.2">
      <c r="A263" s="347">
        <v>16407</v>
      </c>
      <c r="B263" s="364">
        <f t="shared" si="102"/>
        <v>16.407</v>
      </c>
      <c r="C263" s="337">
        <f t="shared" si="83"/>
        <v>1.034227517603858</v>
      </c>
      <c r="D263" s="338">
        <f t="shared" si="84"/>
        <v>0.25798813222144867</v>
      </c>
      <c r="E263" s="338">
        <f t="shared" si="85"/>
        <v>1.0000004695087621</v>
      </c>
      <c r="F263" s="339">
        <f t="shared" si="86"/>
        <v>9.6902897612901489E-4</v>
      </c>
      <c r="G263" s="338">
        <f t="shared" si="87"/>
        <v>1</v>
      </c>
      <c r="H263" s="339">
        <f t="shared" si="88"/>
        <v>0</v>
      </c>
      <c r="I263" s="337">
        <f t="shared" si="89"/>
        <v>118760.35856064278</v>
      </c>
      <c r="J263" s="340">
        <f t="shared" si="90"/>
        <v>1.5707879064767691</v>
      </c>
      <c r="K263" s="348">
        <f t="shared" si="106"/>
        <v>2.9052410372738735</v>
      </c>
      <c r="L263" s="349">
        <f t="shared" si="107"/>
        <v>1.2194038606230349</v>
      </c>
      <c r="M263" s="337">
        <f t="shared" si="91"/>
        <v>1.0001298978100412</v>
      </c>
      <c r="N263" s="340">
        <f t="shared" si="92"/>
        <v>1.6117304389927187E-2</v>
      </c>
      <c r="O263" s="341">
        <f t="shared" si="93"/>
        <v>1.0000523072936245</v>
      </c>
      <c r="P263" s="342">
        <f t="shared" si="94"/>
        <v>2.4350333983124747E-2</v>
      </c>
      <c r="Q263" s="343">
        <f t="shared" si="95"/>
        <v>-9.4851232302773564E-2</v>
      </c>
      <c r="R263" s="344">
        <f t="shared" si="96"/>
        <v>-37.177557613963437</v>
      </c>
      <c r="S263" s="346">
        <f t="shared" si="97"/>
        <v>142.82244238603656</v>
      </c>
      <c r="U263" s="319">
        <f t="shared" si="103"/>
        <v>16407</v>
      </c>
      <c r="V263" s="319">
        <f t="shared" si="104"/>
        <v>269189649</v>
      </c>
      <c r="X263" s="345">
        <f t="shared" si="98"/>
        <v>5.4763095940203961</v>
      </c>
      <c r="Y263" s="346">
        <f t="shared" si="99"/>
        <v>-21.056276358381172</v>
      </c>
      <c r="AA263" s="345">
        <f t="shared" si="100"/>
        <v>32.646806187023088</v>
      </c>
      <c r="AB263" s="346">
        <f t="shared" si="101"/>
        <v>-16.121281255582257</v>
      </c>
      <c r="AD263">
        <f t="shared" si="105"/>
        <v>0</v>
      </c>
      <c r="AE263">
        <f t="shared" si="108"/>
        <v>0</v>
      </c>
    </row>
    <row r="264" spans="1:31" x14ac:dyDescent="0.2">
      <c r="A264" s="347">
        <v>16501.5</v>
      </c>
      <c r="B264" s="364">
        <f t="shared" si="102"/>
        <v>16.5015</v>
      </c>
      <c r="C264" s="337">
        <f t="shared" si="83"/>
        <v>1.0346163198424785</v>
      </c>
      <c r="D264" s="338">
        <f t="shared" si="84"/>
        <v>0.25940848042618736</v>
      </c>
      <c r="E264" s="338">
        <f t="shared" si="85"/>
        <v>1.0000004749328302</v>
      </c>
      <c r="F264" s="339">
        <f t="shared" si="86"/>
        <v>9.7461032435977525E-4</v>
      </c>
      <c r="G264" s="338">
        <f t="shared" si="87"/>
        <v>1</v>
      </c>
      <c r="H264" s="339">
        <f t="shared" si="88"/>
        <v>0</v>
      </c>
      <c r="I264" s="337">
        <f t="shared" si="89"/>
        <v>119444.38695603421</v>
      </c>
      <c r="J264" s="340">
        <f t="shared" si="90"/>
        <v>1.5707879546978438</v>
      </c>
      <c r="K264" s="348">
        <f t="shared" si="106"/>
        <v>2.919996935096747</v>
      </c>
      <c r="L264" s="349">
        <f t="shared" si="107"/>
        <v>1.221255844488716</v>
      </c>
      <c r="M264" s="337">
        <f t="shared" si="91"/>
        <v>1.0001313983751323</v>
      </c>
      <c r="N264" s="340">
        <f t="shared" si="92"/>
        <v>1.6210119604809656E-2</v>
      </c>
      <c r="O264" s="341">
        <f t="shared" si="93"/>
        <v>1.0000529119137063</v>
      </c>
      <c r="P264" s="342">
        <f t="shared" si="94"/>
        <v>2.4490598652532277E-2</v>
      </c>
      <c r="Q264" s="343">
        <f t="shared" si="95"/>
        <v>-0.10401458607489333</v>
      </c>
      <c r="R264" s="344">
        <f t="shared" si="96"/>
        <v>-37.16586418111639</v>
      </c>
      <c r="S264" s="346">
        <f t="shared" si="97"/>
        <v>142.83413581888362</v>
      </c>
      <c r="U264" s="319">
        <f t="shared" si="103"/>
        <v>16501.5</v>
      </c>
      <c r="V264" s="319">
        <f t="shared" si="104"/>
        <v>272299502.25</v>
      </c>
      <c r="X264" s="345">
        <f t="shared" si="98"/>
        <v>5.4704161601228707</v>
      </c>
      <c r="Y264" s="346">
        <f t="shared" si="99"/>
        <v>-20.955486181987578</v>
      </c>
      <c r="AA264" s="345">
        <f t="shared" si="100"/>
        <v>32.643536267148498</v>
      </c>
      <c r="AB264" s="346">
        <f t="shared" si="101"/>
        <v>-16.210377999128809</v>
      </c>
      <c r="AD264">
        <f t="shared" si="105"/>
        <v>0</v>
      </c>
      <c r="AE264">
        <f t="shared" si="108"/>
        <v>0</v>
      </c>
    </row>
    <row r="265" spans="1:31" x14ac:dyDescent="0.2">
      <c r="A265" s="347">
        <v>16596</v>
      </c>
      <c r="B265" s="364">
        <f t="shared" si="102"/>
        <v>16.596</v>
      </c>
      <c r="C265" s="337">
        <f t="shared" si="83"/>
        <v>1.0350072077341121</v>
      </c>
      <c r="D265" s="338">
        <f t="shared" si="84"/>
        <v>0.26082775865555552</v>
      </c>
      <c r="E265" s="338">
        <f t="shared" si="85"/>
        <v>1.0000004803880498</v>
      </c>
      <c r="F265" s="339">
        <f t="shared" si="86"/>
        <v>9.8019167252981444E-4</v>
      </c>
      <c r="G265" s="338">
        <f t="shared" si="87"/>
        <v>1</v>
      </c>
      <c r="H265" s="339">
        <f t="shared" si="88"/>
        <v>0</v>
      </c>
      <c r="I265" s="337">
        <f t="shared" si="89"/>
        <v>120128.41535142592</v>
      </c>
      <c r="J265" s="340">
        <f t="shared" si="90"/>
        <v>1.5707880023697629</v>
      </c>
      <c r="K265" s="348">
        <f t="shared" si="106"/>
        <v>2.9347627473227798</v>
      </c>
      <c r="L265" s="349">
        <f t="shared" si="107"/>
        <v>1.2230891986398436</v>
      </c>
      <c r="M265" s="337">
        <f t="shared" si="91"/>
        <v>1.0001329075559933</v>
      </c>
      <c r="N265" s="340">
        <f t="shared" si="92"/>
        <v>1.6302934540379028E-2</v>
      </c>
      <c r="O265" s="341">
        <f t="shared" si="93"/>
        <v>1.000053520013896</v>
      </c>
      <c r="P265" s="342">
        <f t="shared" si="94"/>
        <v>2.4630863548533912E-2</v>
      </c>
      <c r="Q265" s="343">
        <f t="shared" si="95"/>
        <v>-0.11310192598892842</v>
      </c>
      <c r="R265" s="344">
        <f t="shared" si="96"/>
        <v>-37.15517681273365</v>
      </c>
      <c r="S265" s="346">
        <f t="shared" si="97"/>
        <v>142.84482318726634</v>
      </c>
      <c r="U265" s="319">
        <f t="shared" si="103"/>
        <v>16596</v>
      </c>
      <c r="V265" s="319">
        <f t="shared" si="104"/>
        <v>275427216</v>
      </c>
      <c r="X265" s="345">
        <f t="shared" si="98"/>
        <v>5.4646150464446377</v>
      </c>
      <c r="Y265" s="346">
        <f t="shared" si="99"/>
        <v>-20.855763362144902</v>
      </c>
      <c r="AA265" s="345">
        <f t="shared" si="100"/>
        <v>32.640250040912697</v>
      </c>
      <c r="AB265" s="346">
        <f t="shared" si="101"/>
        <v>-16.299413450588737</v>
      </c>
      <c r="AD265">
        <f t="shared" si="105"/>
        <v>0</v>
      </c>
      <c r="AE265">
        <f t="shared" si="108"/>
        <v>0</v>
      </c>
    </row>
    <row r="266" spans="1:31" x14ac:dyDescent="0.2">
      <c r="A266" s="347">
        <v>16692.5</v>
      </c>
      <c r="B266" s="364">
        <f t="shared" si="102"/>
        <v>16.692499999999999</v>
      </c>
      <c r="C266" s="337">
        <f t="shared" si="83"/>
        <v>1.0354085182617614</v>
      </c>
      <c r="D266" s="338">
        <f t="shared" si="84"/>
        <v>0.26227596565755745</v>
      </c>
      <c r="E266" s="338">
        <f t="shared" si="85"/>
        <v>1.0000004859908711</v>
      </c>
      <c r="F266" s="339">
        <f t="shared" si="86"/>
        <v>9.8589114440762455E-4</v>
      </c>
      <c r="G266" s="338">
        <f t="shared" si="87"/>
        <v>1</v>
      </c>
      <c r="H266" s="339">
        <f t="shared" si="88"/>
        <v>0</v>
      </c>
      <c r="I266" s="337">
        <f t="shared" si="89"/>
        <v>120826.92053825478</v>
      </c>
      <c r="J266" s="340">
        <f t="shared" si="90"/>
        <v>1.5707880504935925</v>
      </c>
      <c r="K266" s="348">
        <f t="shared" si="106"/>
        <v>2.9498511401505745</v>
      </c>
      <c r="L266" s="349">
        <f t="shared" si="107"/>
        <v>1.2249424066617938</v>
      </c>
      <c r="M266" s="337">
        <f t="shared" si="91"/>
        <v>1.0001344575683659</v>
      </c>
      <c r="N266" s="340">
        <f t="shared" si="92"/>
        <v>1.639771352330582E-2</v>
      </c>
      <c r="O266" s="341">
        <f t="shared" si="93"/>
        <v>1.0000541445754354</v>
      </c>
      <c r="P266" s="342">
        <f t="shared" si="94"/>
        <v>2.4774097248947066E-2</v>
      </c>
      <c r="Q266" s="343">
        <f t="shared" si="95"/>
        <v>-0.12230506933236124</v>
      </c>
      <c r="R266" s="344">
        <f t="shared" si="96"/>
        <v>-37.145285287415042</v>
      </c>
      <c r="S266" s="346">
        <f t="shared" si="97"/>
        <v>142.85471471258495</v>
      </c>
      <c r="U266" s="319">
        <f t="shared" si="103"/>
        <v>16692.5</v>
      </c>
      <c r="V266" s="319">
        <f t="shared" si="104"/>
        <v>278639556.25</v>
      </c>
      <c r="X266" s="345">
        <f t="shared" si="98"/>
        <v>5.4587844665368248</v>
      </c>
      <c r="Y266" s="346">
        <f t="shared" si="99"/>
        <v>-20.755015556812815</v>
      </c>
      <c r="AA266" s="345">
        <f t="shared" si="100"/>
        <v>32.636877477477078</v>
      </c>
      <c r="AB266" s="346">
        <f t="shared" si="101"/>
        <v>-16.390269730602228</v>
      </c>
      <c r="AD266">
        <f t="shared" si="105"/>
        <v>0</v>
      </c>
      <c r="AE266">
        <f t="shared" si="108"/>
        <v>0</v>
      </c>
    </row>
    <row r="267" spans="1:31" x14ac:dyDescent="0.2">
      <c r="A267" s="347">
        <v>16789</v>
      </c>
      <c r="B267" s="364">
        <f t="shared" si="102"/>
        <v>16.789000000000001</v>
      </c>
      <c r="C267" s="337">
        <f t="shared" si="83"/>
        <v>1.0358119986700018</v>
      </c>
      <c r="D267" s="338">
        <f t="shared" si="84"/>
        <v>0.26372304745084973</v>
      </c>
      <c r="E267" s="338">
        <f t="shared" si="85"/>
        <v>1.0000004916261764</v>
      </c>
      <c r="F267" s="339">
        <f t="shared" si="86"/>
        <v>9.9159061622138326E-4</v>
      </c>
      <c r="G267" s="338">
        <f t="shared" si="87"/>
        <v>1</v>
      </c>
      <c r="H267" s="339">
        <f t="shared" si="88"/>
        <v>0</v>
      </c>
      <c r="I267" s="337">
        <f t="shared" si="89"/>
        <v>121525.4257250839</v>
      </c>
      <c r="J267" s="340">
        <f t="shared" si="90"/>
        <v>1.5707880980642088</v>
      </c>
      <c r="K267" s="348">
        <f t="shared" si="106"/>
        <v>2.9649495607570824</v>
      </c>
      <c r="L267" s="349">
        <f t="shared" si="107"/>
        <v>1.2267767467378532</v>
      </c>
      <c r="M267" s="337">
        <f t="shared" si="91"/>
        <v>1.000136016564974</v>
      </c>
      <c r="N267" s="340">
        <f t="shared" si="92"/>
        <v>1.6492492211603975E-2</v>
      </c>
      <c r="O267" s="341">
        <f t="shared" si="93"/>
        <v>1.0000547727662259</v>
      </c>
      <c r="P267" s="342">
        <f t="shared" si="94"/>
        <v>2.4917331188376062E-2</v>
      </c>
      <c r="Q267" s="343">
        <f t="shared" si="95"/>
        <v>-0.13143279623975002</v>
      </c>
      <c r="R267" s="344">
        <f t="shared" si="96"/>
        <v>-37.136410311175609</v>
      </c>
      <c r="S267" s="346">
        <f t="shared" si="97"/>
        <v>142.86358968882439</v>
      </c>
      <c r="U267" s="319">
        <f t="shared" si="103"/>
        <v>16789</v>
      </c>
      <c r="V267" s="319">
        <f t="shared" si="104"/>
        <v>281870521</v>
      </c>
      <c r="X267" s="345">
        <f t="shared" si="98"/>
        <v>5.4530462252142993</v>
      </c>
      <c r="Y267" s="346">
        <f t="shared" si="99"/>
        <v>-20.655348756571829</v>
      </c>
      <c r="AA267" s="345">
        <f t="shared" si="100"/>
        <v>32.63348799189221</v>
      </c>
      <c r="AB267" s="346">
        <f t="shared" si="101"/>
        <v>-16.481061554603773</v>
      </c>
      <c r="AD267">
        <f t="shared" si="105"/>
        <v>0</v>
      </c>
      <c r="AE267">
        <f t="shared" si="108"/>
        <v>0</v>
      </c>
    </row>
    <row r="268" spans="1:31" x14ac:dyDescent="0.2">
      <c r="A268" s="347">
        <v>16885.5</v>
      </c>
      <c r="B268" s="364">
        <f t="shared" si="102"/>
        <v>16.8855</v>
      </c>
      <c r="C268" s="337">
        <f t="shared" si="83"/>
        <v>1.0362176464241213</v>
      </c>
      <c r="D268" s="338">
        <f t="shared" si="84"/>
        <v>0.2651689992928693</v>
      </c>
      <c r="E268" s="338">
        <f t="shared" si="85"/>
        <v>1.0000004972939658</v>
      </c>
      <c r="F268" s="339">
        <f t="shared" si="86"/>
        <v>9.9729008797072019E-4</v>
      </c>
      <c r="G268" s="338">
        <f t="shared" si="87"/>
        <v>1</v>
      </c>
      <c r="H268" s="339">
        <f t="shared" si="88"/>
        <v>0</v>
      </c>
      <c r="I268" s="337">
        <f t="shared" si="89"/>
        <v>122223.9309119133</v>
      </c>
      <c r="J268" s="340">
        <f t="shared" si="90"/>
        <v>1.5707881450910965</v>
      </c>
      <c r="K268" s="348">
        <f t="shared" si="106"/>
        <v>2.9800578567255127</v>
      </c>
      <c r="L268" s="349">
        <f t="shared" si="107"/>
        <v>1.2285924933990702</v>
      </c>
      <c r="M268" s="337">
        <f t="shared" si="91"/>
        <v>1.0001375845457756</v>
      </c>
      <c r="N268" s="340">
        <f t="shared" si="92"/>
        <v>1.6587270603572082E-2</v>
      </c>
      <c r="O268" s="341">
        <f t="shared" si="93"/>
        <v>1.0000554045864092</v>
      </c>
      <c r="P268" s="342">
        <f t="shared" si="94"/>
        <v>2.5060565368199596E-2</v>
      </c>
      <c r="Q268" s="343">
        <f t="shared" si="95"/>
        <v>-0.14048697643919009</v>
      </c>
      <c r="R268" s="344">
        <f t="shared" si="96"/>
        <v>-37.128535883341016</v>
      </c>
      <c r="S268" s="346">
        <f t="shared" si="97"/>
        <v>142.87146411665898</v>
      </c>
      <c r="U268" s="319">
        <f t="shared" si="103"/>
        <v>16885.5</v>
      </c>
      <c r="V268" s="319">
        <f t="shared" si="104"/>
        <v>285120110.25</v>
      </c>
      <c r="X268" s="345">
        <f t="shared" si="98"/>
        <v>5.4473984112591642</v>
      </c>
      <c r="Y268" s="346">
        <f t="shared" si="99"/>
        <v>-20.556747232397466</v>
      </c>
      <c r="AA268" s="345">
        <f t="shared" si="100"/>
        <v>32.630081625647911</v>
      </c>
      <c r="AB268" s="346">
        <f t="shared" si="101"/>
        <v>-16.571788650943549</v>
      </c>
      <c r="AD268">
        <f t="shared" si="105"/>
        <v>0</v>
      </c>
      <c r="AE268">
        <f t="shared" si="108"/>
        <v>0</v>
      </c>
    </row>
    <row r="269" spans="1:31" x14ac:dyDescent="0.2">
      <c r="A269" s="347">
        <v>16982</v>
      </c>
      <c r="B269" s="364">
        <f t="shared" si="102"/>
        <v>16.981999999999999</v>
      </c>
      <c r="C269" s="337">
        <f t="shared" ref="C269:C332" si="109">SQRT(1+(A269/pole1)^2)</f>
        <v>1.036625458979771</v>
      </c>
      <c r="D269" s="338">
        <f t="shared" ref="D269:D332" si="110">ATAN(A269/pole1)</f>
        <v>0.26661381646735588</v>
      </c>
      <c r="E269" s="338">
        <f t="shared" ref="E269:E332" si="111">SQRT(1+(A269/Zero1)^2)</f>
        <v>1.0000005029942391</v>
      </c>
      <c r="F269" s="339">
        <f t="shared" ref="F269:F332" si="112">ATAN(A269/Zero1)</f>
        <v>1.0029895596552654E-3</v>
      </c>
      <c r="G269" s="338">
        <f t="shared" ref="G269:G332" si="113">IF(VIN_nom&gt;Vout, 1, SQRT(1+(A269/z_RHP)^2))</f>
        <v>1</v>
      </c>
      <c r="H269" s="339">
        <f t="shared" ref="H269:H332" si="114">IF(VIN_nom&gt;Vout, 0, -ATAN(A269/z_RHP))</f>
        <v>0</v>
      </c>
      <c r="I269" s="337">
        <f t="shared" ref="I269:I332" si="115">SQRT(1+(A269/Pole2)^2)</f>
        <v>122922.43609874297</v>
      </c>
      <c r="J269" s="340">
        <f t="shared" ref="J269:J332" si="116">ATAN(A269/Pole2)</f>
        <v>1.5707881915835247</v>
      </c>
      <c r="K269" s="348">
        <f t="shared" si="106"/>
        <v>2.9951758786156728</v>
      </c>
      <c r="L269" s="349">
        <f t="shared" si="107"/>
        <v>1.2303899161296188</v>
      </c>
      <c r="M269" s="337">
        <f t="shared" ref="M269:M332" si="117">SQRT(1+(A269/pole4)^2)</f>
        <v>1.0001391615107285</v>
      </c>
      <c r="N269" s="340">
        <f t="shared" ref="N269:N332" si="118">ATAN(A269/pole4)</f>
        <v>1.668204869750876E-2</v>
      </c>
      <c r="O269" s="341">
        <f t="shared" ref="O269:O332" si="119">SQRT((1-(V269/pterm2))^2+(A269/pterm1)^2)</f>
        <v>1.000056040036128</v>
      </c>
      <c r="P269" s="342">
        <f t="shared" ref="P269:P332" si="120">IF((ATAN((A269/pterm1)/(1-A269^2/pterm2))&gt;0),ATAN((A269/pterm1)/(1-A269^2/pterm2)),PI()+ATAN((A269/pterm1)/(1-A269^2/pterm2)))</f>
        <v>2.5203799789796297E-2</v>
      </c>
      <c r="Q269" s="343">
        <f t="shared" ref="Q269:Q332" si="121">20*LOG10(((E269*K269*G269)/(C269*I269*O269*M269))*Adc)</f>
        <v>-0.1494694312833619</v>
      </c>
      <c r="R269" s="344">
        <f t="shared" ref="R269:R332" si="122">((F269+L269+H269)-(D269+J269+P269+N269))*radconv</f>
        <v>-37.121646293896205</v>
      </c>
      <c r="S269" s="346">
        <f t="shared" ref="S269:S332" si="123">IF(R269&gt;0,R269,R269+180)</f>
        <v>142.87835370610378</v>
      </c>
      <c r="U269" s="319">
        <f t="shared" si="103"/>
        <v>16982</v>
      </c>
      <c r="V269" s="319">
        <f t="shared" si="104"/>
        <v>288388324</v>
      </c>
      <c r="X269" s="345">
        <f t="shared" ref="X269:X332" si="124">20*LOG10((K269/(I269*M269))*AEA)</f>
        <v>5.4418391616993755</v>
      </c>
      <c r="Y269" s="346">
        <f t="shared" ref="Y269:Y332" si="125">(L269-(J269+N269))*radconv</f>
        <v>-20.459195544417458</v>
      </c>
      <c r="AA269" s="345">
        <f t="shared" ref="AA269:AA332" si="126">20*LOG10((E269*G269/(C269*O269))*Acs*Am)</f>
        <v>32.626658420363526</v>
      </c>
      <c r="AB269" s="346">
        <f t="shared" ref="AB269:AB332" si="127">(F269+H269-(D269+P269))*radconv</f>
        <v>-16.662450749478751</v>
      </c>
      <c r="AD269">
        <f t="shared" si="105"/>
        <v>0</v>
      </c>
      <c r="AE269">
        <f t="shared" si="108"/>
        <v>0</v>
      </c>
    </row>
    <row r="270" spans="1:31" x14ac:dyDescent="0.2">
      <c r="A270" s="347">
        <v>17081</v>
      </c>
      <c r="B270" s="364">
        <f t="shared" ref="B270:B333" si="128">A270/1000</f>
        <v>17.081</v>
      </c>
      <c r="C270" s="337">
        <f t="shared" si="109"/>
        <v>1.0370460836029407</v>
      </c>
      <c r="D270" s="338">
        <f t="shared" si="110"/>
        <v>0.26809488008134386</v>
      </c>
      <c r="E270" s="338">
        <f t="shared" si="111"/>
        <v>1.0000005088759452</v>
      </c>
      <c r="F270" s="339">
        <f t="shared" si="112"/>
        <v>1.0088366859789444E-3</v>
      </c>
      <c r="G270" s="338">
        <f t="shared" si="113"/>
        <v>1</v>
      </c>
      <c r="H270" s="339">
        <f t="shared" si="114"/>
        <v>0</v>
      </c>
      <c r="I270" s="337">
        <f t="shared" si="115"/>
        <v>123639.03727486901</v>
      </c>
      <c r="J270" s="340">
        <f t="shared" si="116"/>
        <v>1.5707882387345069</v>
      </c>
      <c r="K270" s="348">
        <f t="shared" si="106"/>
        <v>3.0106955126673571</v>
      </c>
      <c r="L270" s="349">
        <f t="shared" si="107"/>
        <v>1.2322151393224963</v>
      </c>
      <c r="M270" s="337">
        <f t="shared" si="117"/>
        <v>1.0001407886659426</v>
      </c>
      <c r="N270" s="340">
        <f t="shared" si="118"/>
        <v>1.6779281870983796E-2</v>
      </c>
      <c r="O270" s="341">
        <f t="shared" si="119"/>
        <v>1.0000566957202228</v>
      </c>
      <c r="P270" s="342">
        <f t="shared" si="120"/>
        <v>2.5350745200398418E-2</v>
      </c>
      <c r="Q270" s="343">
        <f t="shared" si="121"/>
        <v>-0.15861191509961378</v>
      </c>
      <c r="R270" s="344">
        <f t="shared" si="122"/>
        <v>-37.115585490746675</v>
      </c>
      <c r="S270" s="346">
        <f t="shared" si="123"/>
        <v>142.88441450925333</v>
      </c>
      <c r="U270" s="319">
        <f t="shared" ref="U270:U333" si="129">IF(Q270&lt;0,A270,1000000000)</f>
        <v>17081</v>
      </c>
      <c r="V270" s="319">
        <f t="shared" ref="V270:V333" si="130">A270^2</f>
        <v>291760561</v>
      </c>
      <c r="X270" s="345">
        <f t="shared" si="124"/>
        <v>5.4362260225407608</v>
      </c>
      <c r="Y270" s="346">
        <f t="shared" si="125"/>
        <v>-20.360191710704118</v>
      </c>
      <c r="AA270" s="345">
        <f t="shared" si="126"/>
        <v>32.62312907570589</v>
      </c>
      <c r="AB270" s="346">
        <f t="shared" si="127"/>
        <v>-16.755393780042549</v>
      </c>
      <c r="AD270">
        <f t="shared" ref="AD270:AD333" si="131">SUM((Q271&lt;0)*(Q270&gt;0))*A270</f>
        <v>0</v>
      </c>
      <c r="AE270">
        <f t="shared" si="108"/>
        <v>0</v>
      </c>
    </row>
    <row r="271" spans="1:31" x14ac:dyDescent="0.2">
      <c r="A271" s="347">
        <v>17180</v>
      </c>
      <c r="B271" s="364">
        <f t="shared" si="128"/>
        <v>17.18</v>
      </c>
      <c r="C271" s="337">
        <f t="shared" si="109"/>
        <v>1.0374689811904754</v>
      </c>
      <c r="D271" s="338">
        <f t="shared" si="110"/>
        <v>0.26957473950418109</v>
      </c>
      <c r="E271" s="338">
        <f t="shared" si="111"/>
        <v>1.0000005147918403</v>
      </c>
      <c r="F271" s="339">
        <f t="shared" si="112"/>
        <v>1.0146838122336414E-3</v>
      </c>
      <c r="G271" s="338">
        <f t="shared" si="113"/>
        <v>1</v>
      </c>
      <c r="H271" s="339">
        <f t="shared" si="114"/>
        <v>0</v>
      </c>
      <c r="I271" s="337">
        <f t="shared" si="115"/>
        <v>124355.63845099534</v>
      </c>
      <c r="J271" s="340">
        <f t="shared" si="116"/>
        <v>1.5707882853420725</v>
      </c>
      <c r="K271" s="348">
        <f t="shared" si="106"/>
        <v>3.0262250737754246</v>
      </c>
      <c r="L271" s="349">
        <f t="shared" si="107"/>
        <v>1.2340216356290017</v>
      </c>
      <c r="M271" s="337">
        <f t="shared" si="117"/>
        <v>1.0001424252767468</v>
      </c>
      <c r="N271" s="340">
        <f t="shared" si="118"/>
        <v>1.6876514727157694E-2</v>
      </c>
      <c r="O271" s="341">
        <f t="shared" si="119"/>
        <v>1.0000573552246541</v>
      </c>
      <c r="P271" s="342">
        <f t="shared" si="120"/>
        <v>2.5497690868402482E-2</v>
      </c>
      <c r="Q271" s="343">
        <f t="shared" si="121"/>
        <v>-0.16768264250582399</v>
      </c>
      <c r="R271" s="344">
        <f t="shared" si="122"/>
        <v>-37.110528629516658</v>
      </c>
      <c r="S271" s="346">
        <f t="shared" si="123"/>
        <v>142.88947137048334</v>
      </c>
      <c r="U271" s="319">
        <f t="shared" si="129"/>
        <v>17180</v>
      </c>
      <c r="V271" s="319">
        <f t="shared" si="130"/>
        <v>295152400</v>
      </c>
      <c r="X271" s="345">
        <f t="shared" si="124"/>
        <v>5.4307022734688015</v>
      </c>
      <c r="Y271" s="346">
        <f t="shared" si="125"/>
        <v>-20.262260799229054</v>
      </c>
      <c r="AA271" s="345">
        <f t="shared" si="126"/>
        <v>32.619582097371634</v>
      </c>
      <c r="AB271" s="346">
        <f t="shared" si="127"/>
        <v>-16.848267830287604</v>
      </c>
      <c r="AD271">
        <f t="shared" si="131"/>
        <v>0</v>
      </c>
      <c r="AE271">
        <f t="shared" si="108"/>
        <v>0</v>
      </c>
    </row>
    <row r="272" spans="1:31" x14ac:dyDescent="0.2">
      <c r="A272" s="347">
        <v>17279</v>
      </c>
      <c r="B272" s="364">
        <f t="shared" si="128"/>
        <v>17.279</v>
      </c>
      <c r="C272" s="337">
        <f t="shared" si="109"/>
        <v>1.0378941489639673</v>
      </c>
      <c r="D272" s="338">
        <f t="shared" si="110"/>
        <v>0.2710533897300767</v>
      </c>
      <c r="E272" s="338">
        <f t="shared" si="111"/>
        <v>1.000000520741924</v>
      </c>
      <c r="F272" s="339">
        <f t="shared" si="112"/>
        <v>1.0205309384189567E-3</v>
      </c>
      <c r="G272" s="338">
        <f t="shared" si="113"/>
        <v>1</v>
      </c>
      <c r="H272" s="339">
        <f t="shared" si="114"/>
        <v>0</v>
      </c>
      <c r="I272" s="337">
        <f t="shared" si="115"/>
        <v>125072.23962712192</v>
      </c>
      <c r="J272" s="340">
        <f t="shared" si="116"/>
        <v>1.5707883314155624</v>
      </c>
      <c r="K272" s="348">
        <f t="shared" si="106"/>
        <v>3.0417644098937555</v>
      </c>
      <c r="L272" s="349">
        <f t="shared" si="107"/>
        <v>1.235809680175066</v>
      </c>
      <c r="M272" s="337">
        <f t="shared" si="117"/>
        <v>1.0001440713430947</v>
      </c>
      <c r="N272" s="340">
        <f t="shared" si="118"/>
        <v>1.6973747264193494E-2</v>
      </c>
      <c r="O272" s="341">
        <f t="shared" si="119"/>
        <v>1.0000580185495789</v>
      </c>
      <c r="P272" s="342">
        <f t="shared" si="120"/>
        <v>2.5644636795296907E-2</v>
      </c>
      <c r="Q272" s="343">
        <f t="shared" si="121"/>
        <v>-0.1766834306415182</v>
      </c>
      <c r="R272" s="344">
        <f t="shared" si="122"/>
        <v>-37.10645966035603</v>
      </c>
      <c r="S272" s="346">
        <f t="shared" si="123"/>
        <v>142.89354033964398</v>
      </c>
      <c r="U272" s="319">
        <f t="shared" si="129"/>
        <v>17279</v>
      </c>
      <c r="V272" s="319">
        <f t="shared" si="130"/>
        <v>298563841</v>
      </c>
      <c r="X272" s="345">
        <f t="shared" si="124"/>
        <v>5.4252660519904081</v>
      </c>
      <c r="Y272" s="346">
        <f t="shared" si="125"/>
        <v>-20.165387046867512</v>
      </c>
      <c r="AA272" s="345">
        <f t="shared" si="126"/>
        <v>32.616017530714338</v>
      </c>
      <c r="AB272" s="346">
        <f t="shared" si="127"/>
        <v>-16.941072613488519</v>
      </c>
      <c r="AD272">
        <f t="shared" si="131"/>
        <v>0</v>
      </c>
      <c r="AE272">
        <f t="shared" si="108"/>
        <v>0</v>
      </c>
    </row>
    <row r="273" spans="1:31" x14ac:dyDescent="0.2">
      <c r="A273" s="347">
        <v>17378</v>
      </c>
      <c r="B273" s="364">
        <f t="shared" si="128"/>
        <v>17.378</v>
      </c>
      <c r="C273" s="337">
        <f t="shared" si="109"/>
        <v>1.0383215841346565</v>
      </c>
      <c r="D273" s="338">
        <f t="shared" si="110"/>
        <v>0.27253082578256693</v>
      </c>
      <c r="E273" s="338">
        <f t="shared" si="111"/>
        <v>1.0000005267261969</v>
      </c>
      <c r="F273" s="339">
        <f t="shared" si="112"/>
        <v>1.0263780645344903E-3</v>
      </c>
      <c r="G273" s="338">
        <f t="shared" si="113"/>
        <v>1</v>
      </c>
      <c r="H273" s="339">
        <f t="shared" si="114"/>
        <v>0</v>
      </c>
      <c r="I273" s="337">
        <f t="shared" si="115"/>
        <v>125788.84080324876</v>
      </c>
      <c r="J273" s="340">
        <f t="shared" si="116"/>
        <v>1.5707883769641038</v>
      </c>
      <c r="K273" s="348">
        <f t="shared" si="106"/>
        <v>3.0573133719726964</v>
      </c>
      <c r="L273" s="349">
        <f t="shared" si="107"/>
        <v>1.2375795429668863</v>
      </c>
      <c r="M273" s="337">
        <f t="shared" si="117"/>
        <v>1.0001457268649399</v>
      </c>
      <c r="N273" s="340">
        <f t="shared" si="118"/>
        <v>1.707097948025427E-2</v>
      </c>
      <c r="O273" s="341">
        <f t="shared" si="119"/>
        <v>1.0000586856951541</v>
      </c>
      <c r="P273" s="342">
        <f t="shared" si="120"/>
        <v>2.5791582982570033E-2</v>
      </c>
      <c r="Q273" s="343">
        <f t="shared" si="121"/>
        <v>-0.18561604915093366</v>
      </c>
      <c r="R273" s="344">
        <f t="shared" si="122"/>
        <v>-37.103362828421872</v>
      </c>
      <c r="S273" s="346">
        <f t="shared" si="123"/>
        <v>142.89663717157813</v>
      </c>
      <c r="U273" s="319">
        <f t="shared" si="129"/>
        <v>17378</v>
      </c>
      <c r="V273" s="319">
        <f t="shared" si="130"/>
        <v>301994884</v>
      </c>
      <c r="X273" s="345">
        <f t="shared" si="124"/>
        <v>5.419915542971065</v>
      </c>
      <c r="Y273" s="346">
        <f t="shared" si="125"/>
        <v>-20.069554983821636</v>
      </c>
      <c r="AA273" s="345">
        <f t="shared" si="126"/>
        <v>32.612435421224262</v>
      </c>
      <c r="AB273" s="346">
        <f t="shared" si="127"/>
        <v>-17.033807844600233</v>
      </c>
      <c r="AD273">
        <f t="shared" si="131"/>
        <v>0</v>
      </c>
      <c r="AE273">
        <f t="shared" si="108"/>
        <v>0</v>
      </c>
    </row>
    <row r="274" spans="1:31" x14ac:dyDescent="0.2">
      <c r="A274" s="347">
        <v>17479.25</v>
      </c>
      <c r="B274" s="364">
        <f t="shared" si="128"/>
        <v>17.47925</v>
      </c>
      <c r="C274" s="337">
        <f t="shared" si="109"/>
        <v>1.038761076104292</v>
      </c>
      <c r="D274" s="338">
        <f t="shared" si="110"/>
        <v>0.27404057889228917</v>
      </c>
      <c r="E274" s="338">
        <f t="shared" si="111"/>
        <v>1.0000005328818391</v>
      </c>
      <c r="F274" s="339">
        <f t="shared" si="112"/>
        <v>1.0323580798073269E-3</v>
      </c>
      <c r="G274" s="338">
        <f t="shared" si="113"/>
        <v>1</v>
      </c>
      <c r="H274" s="339">
        <f t="shared" si="114"/>
        <v>0</v>
      </c>
      <c r="I274" s="337">
        <f t="shared" si="115"/>
        <v>126521.7283697424</v>
      </c>
      <c r="J274" s="340">
        <f t="shared" si="116"/>
        <v>1.5707884230141556</v>
      </c>
      <c r="K274" s="348">
        <f t="shared" si="106"/>
        <v>3.0732255238863049</v>
      </c>
      <c r="L274" s="349">
        <f t="shared" si="107"/>
        <v>1.2393710997790393</v>
      </c>
      <c r="M274" s="337">
        <f t="shared" si="117"/>
        <v>1.0001474297925184</v>
      </c>
      <c r="N274" s="340">
        <f t="shared" si="118"/>
        <v>1.717042118549271E-2</v>
      </c>
      <c r="O274" s="341">
        <f t="shared" si="119"/>
        <v>1.0000593719551809</v>
      </c>
      <c r="P274" s="342">
        <f t="shared" si="120"/>
        <v>2.5941869126791115E-2</v>
      </c>
      <c r="Q274" s="343">
        <f t="shared" si="121"/>
        <v>-0.19468296652617595</v>
      </c>
      <c r="R274" s="344">
        <f t="shared" si="122"/>
        <v>-37.1011850262569</v>
      </c>
      <c r="S274" s="346">
        <f t="shared" si="123"/>
        <v>142.8988149737431</v>
      </c>
      <c r="U274" s="319">
        <f t="shared" si="129"/>
        <v>17479.25</v>
      </c>
      <c r="V274" s="319">
        <f t="shared" si="130"/>
        <v>305524180.5625</v>
      </c>
      <c r="X274" s="345">
        <f t="shared" si="124"/>
        <v>5.4145302445290877</v>
      </c>
      <c r="Y274" s="346">
        <f t="shared" si="125"/>
        <v>-19.972606568107931</v>
      </c>
      <c r="AA274" s="345">
        <f t="shared" si="126"/>
        <v>32.608753802290998</v>
      </c>
      <c r="AB274" s="346">
        <f t="shared" si="127"/>
        <v>-17.128578458148969</v>
      </c>
      <c r="AD274">
        <f t="shared" si="131"/>
        <v>0</v>
      </c>
      <c r="AE274">
        <f t="shared" si="108"/>
        <v>0</v>
      </c>
    </row>
    <row r="275" spans="1:31" x14ac:dyDescent="0.2">
      <c r="A275" s="347">
        <v>17580.5</v>
      </c>
      <c r="B275" s="364">
        <f t="shared" si="128"/>
        <v>17.580500000000001</v>
      </c>
      <c r="C275" s="337">
        <f t="shared" si="109"/>
        <v>1.0392029337728008</v>
      </c>
      <c r="D275" s="338">
        <f t="shared" si="110"/>
        <v>0.27554905157705939</v>
      </c>
      <c r="E275" s="338">
        <f t="shared" si="111"/>
        <v>1.000000539073242</v>
      </c>
      <c r="F275" s="339">
        <f t="shared" si="112"/>
        <v>1.0383380950063281E-3</v>
      </c>
      <c r="G275" s="338">
        <f t="shared" si="113"/>
        <v>1</v>
      </c>
      <c r="H275" s="339">
        <f t="shared" si="114"/>
        <v>0</v>
      </c>
      <c r="I275" s="337">
        <f t="shared" si="115"/>
        <v>127254.6159362363</v>
      </c>
      <c r="J275" s="340">
        <f t="shared" si="116"/>
        <v>1.5707884685337825</v>
      </c>
      <c r="K275" s="348">
        <f t="shared" si="106"/>
        <v>3.0891474382199577</v>
      </c>
      <c r="L275" s="349">
        <f t="shared" si="107"/>
        <v>1.2411441943457142</v>
      </c>
      <c r="M275" s="337">
        <f t="shared" si="117"/>
        <v>1.0001491426101736</v>
      </c>
      <c r="N275" s="340">
        <f t="shared" si="118"/>
        <v>1.7269862551114269E-2</v>
      </c>
      <c r="O275" s="341">
        <f t="shared" si="119"/>
        <v>1.0000600622118336</v>
      </c>
      <c r="P275" s="342">
        <f t="shared" si="120"/>
        <v>2.6092155546509514E-2</v>
      </c>
      <c r="Q275" s="343">
        <f t="shared" si="121"/>
        <v>-0.2036821784704792</v>
      </c>
      <c r="R275" s="344">
        <f t="shared" si="122"/>
        <v>-37.099991635832893</v>
      </c>
      <c r="S275" s="346">
        <f t="shared" si="123"/>
        <v>142.90000836416709</v>
      </c>
      <c r="U275" s="319">
        <f t="shared" si="129"/>
        <v>17580.5</v>
      </c>
      <c r="V275" s="319">
        <f t="shared" si="130"/>
        <v>309073980.25</v>
      </c>
      <c r="X275" s="345">
        <f t="shared" si="124"/>
        <v>5.4092309041391271</v>
      </c>
      <c r="Y275" s="346">
        <f t="shared" si="125"/>
        <v>-19.876715911291956</v>
      </c>
      <c r="AA275" s="345">
        <f t="shared" si="126"/>
        <v>32.605053930736652</v>
      </c>
      <c r="AB275" s="346">
        <f t="shared" si="127"/>
        <v>-17.223275724540947</v>
      </c>
      <c r="AD275">
        <f t="shared" si="131"/>
        <v>0</v>
      </c>
      <c r="AE275">
        <f t="shared" si="108"/>
        <v>0</v>
      </c>
    </row>
    <row r="276" spans="1:31" x14ac:dyDescent="0.2">
      <c r="A276" s="347">
        <v>17681.75</v>
      </c>
      <c r="B276" s="364">
        <f t="shared" si="128"/>
        <v>17.681750000000001</v>
      </c>
      <c r="C276" s="337">
        <f t="shared" si="109"/>
        <v>1.0396471541238643</v>
      </c>
      <c r="D276" s="338">
        <f t="shared" si="110"/>
        <v>0.27705623860881129</v>
      </c>
      <c r="E276" s="338">
        <f t="shared" si="111"/>
        <v>1.0000005453004053</v>
      </c>
      <c r="F276" s="339">
        <f t="shared" si="112"/>
        <v>1.0443181101310662E-3</v>
      </c>
      <c r="G276" s="338">
        <f t="shared" si="113"/>
        <v>1</v>
      </c>
      <c r="H276" s="339">
        <f t="shared" si="114"/>
        <v>0</v>
      </c>
      <c r="I276" s="337">
        <f t="shared" si="115"/>
        <v>127987.50350273045</v>
      </c>
      <c r="J276" s="340">
        <f t="shared" si="116"/>
        <v>1.5707885135320965</v>
      </c>
      <c r="K276" s="348">
        <f t="shared" si="106"/>
        <v>3.105078964797364</v>
      </c>
      <c r="L276" s="349">
        <f t="shared" si="107"/>
        <v>1.2428990996096598</v>
      </c>
      <c r="M276" s="337">
        <f t="shared" si="117"/>
        <v>1.0001508653178548</v>
      </c>
      <c r="N276" s="340">
        <f t="shared" si="118"/>
        <v>1.7369303575154031E-2</v>
      </c>
      <c r="O276" s="341">
        <f t="shared" si="119"/>
        <v>1.0000607564652839</v>
      </c>
      <c r="P276" s="342">
        <f t="shared" si="120"/>
        <v>2.6242442243317173E-2</v>
      </c>
      <c r="Q276" s="343">
        <f t="shared" si="121"/>
        <v>-0.21261543294700061</v>
      </c>
      <c r="R276" s="344">
        <f t="shared" si="122"/>
        <v>-37.099766719636882</v>
      </c>
      <c r="S276" s="346">
        <f t="shared" si="123"/>
        <v>142.90023328036312</v>
      </c>
      <c r="U276" s="319">
        <f t="shared" si="129"/>
        <v>17681.75</v>
      </c>
      <c r="V276" s="319">
        <f t="shared" si="130"/>
        <v>312644283.0625</v>
      </c>
      <c r="X276" s="345">
        <f t="shared" si="124"/>
        <v>5.4040157247428322</v>
      </c>
      <c r="Y276" s="346">
        <f t="shared" si="125"/>
        <v>-19.781867375315613</v>
      </c>
      <c r="AA276" s="345">
        <f t="shared" si="126"/>
        <v>32.60133585565643</v>
      </c>
      <c r="AB276" s="346">
        <f t="shared" si="127"/>
        <v>-17.317899344321273</v>
      </c>
      <c r="AD276">
        <f t="shared" si="131"/>
        <v>0</v>
      </c>
      <c r="AE276">
        <f t="shared" si="108"/>
        <v>0</v>
      </c>
    </row>
    <row r="277" spans="1:31" x14ac:dyDescent="0.2">
      <c r="A277" s="347">
        <v>17783</v>
      </c>
      <c r="B277" s="364">
        <f t="shared" si="128"/>
        <v>17.783000000000001</v>
      </c>
      <c r="C277" s="337">
        <f t="shared" si="109"/>
        <v>1.0400937341302026</v>
      </c>
      <c r="D277" s="338">
        <f t="shared" si="110"/>
        <v>0.27856213479175046</v>
      </c>
      <c r="E277" s="338">
        <f t="shared" si="111"/>
        <v>1.0000005515633295</v>
      </c>
      <c r="F277" s="339">
        <f t="shared" si="112"/>
        <v>1.0502981251811132E-3</v>
      </c>
      <c r="G277" s="338">
        <f t="shared" si="113"/>
        <v>1</v>
      </c>
      <c r="H277" s="339">
        <f t="shared" si="114"/>
        <v>0</v>
      </c>
      <c r="I277" s="337">
        <f t="shared" si="115"/>
        <v>128720.39106922486</v>
      </c>
      <c r="J277" s="340">
        <f t="shared" si="116"/>
        <v>1.5707885580180019</v>
      </c>
      <c r="K277" s="348">
        <f t="shared" si="106"/>
        <v>3.1210199564188463</v>
      </c>
      <c r="L277" s="349">
        <f t="shared" si="107"/>
        <v>1.2446360833904728</v>
      </c>
      <c r="M277" s="337">
        <f t="shared" si="117"/>
        <v>1.0001525979155113</v>
      </c>
      <c r="N277" s="340">
        <f t="shared" si="118"/>
        <v>1.7468744255647116E-2</v>
      </c>
      <c r="O277" s="341">
        <f t="shared" si="119"/>
        <v>1.0000614547157036</v>
      </c>
      <c r="P277" s="342">
        <f t="shared" si="120"/>
        <v>2.6392729218805984E-2</v>
      </c>
      <c r="Q277" s="343">
        <f t="shared" si="121"/>
        <v>-0.22148443189889044</v>
      </c>
      <c r="R277" s="344">
        <f t="shared" si="122"/>
        <v>-37.100494635528015</v>
      </c>
      <c r="S277" s="346">
        <f t="shared" si="123"/>
        <v>142.89950536447199</v>
      </c>
      <c r="U277" s="319">
        <f t="shared" si="129"/>
        <v>17783</v>
      </c>
      <c r="V277" s="319">
        <f t="shared" si="130"/>
        <v>316235089</v>
      </c>
      <c r="X277" s="345">
        <f t="shared" si="124"/>
        <v>5.3988829551599524</v>
      </c>
      <c r="Y277" s="346">
        <f t="shared" si="125"/>
        <v>-19.688045615643933</v>
      </c>
      <c r="AA277" s="345">
        <f t="shared" si="126"/>
        <v>32.597599626287419</v>
      </c>
      <c r="AB277" s="346">
        <f t="shared" si="127"/>
        <v>-17.41244901988409</v>
      </c>
      <c r="AD277">
        <f t="shared" si="131"/>
        <v>0</v>
      </c>
      <c r="AE277">
        <f t="shared" si="108"/>
        <v>0</v>
      </c>
    </row>
    <row r="278" spans="1:31" x14ac:dyDescent="0.2">
      <c r="A278" s="347">
        <v>17886.5</v>
      </c>
      <c r="B278" s="364">
        <f t="shared" si="128"/>
        <v>17.886500000000002</v>
      </c>
      <c r="C278" s="337">
        <f t="shared" si="109"/>
        <v>1.0405526738662687</v>
      </c>
      <c r="D278" s="338">
        <f t="shared" si="110"/>
        <v>0.28010015576225944</v>
      </c>
      <c r="E278" s="338">
        <f t="shared" si="111"/>
        <v>1.000000558002391</v>
      </c>
      <c r="F278" s="339">
        <f t="shared" si="112"/>
        <v>1.0564110293768507E-3</v>
      </c>
      <c r="G278" s="338">
        <f t="shared" si="113"/>
        <v>1</v>
      </c>
      <c r="H278" s="339">
        <f t="shared" si="114"/>
        <v>0</v>
      </c>
      <c r="I278" s="337">
        <f t="shared" si="115"/>
        <v>129469.56502608609</v>
      </c>
      <c r="J278" s="340">
        <f t="shared" si="116"/>
        <v>1.5707886029719287</v>
      </c>
      <c r="K278" s="348">
        <f t="shared" si="106"/>
        <v>3.1373248249533061</v>
      </c>
      <c r="L278" s="349">
        <f t="shared" si="107"/>
        <v>1.2463934171387592</v>
      </c>
      <c r="M278" s="337">
        <f t="shared" si="117"/>
        <v>1.0001543792373671</v>
      </c>
      <c r="N278" s="340">
        <f t="shared" si="118"/>
        <v>1.7570394371911126E-2</v>
      </c>
      <c r="O278" s="341">
        <f t="shared" si="119"/>
        <v>1.0000621726141694</v>
      </c>
      <c r="P278" s="342">
        <f t="shared" si="120"/>
        <v>2.6546356194558002E-2</v>
      </c>
      <c r="Q278" s="343">
        <f t="shared" si="121"/>
        <v>-0.23048583186407676</v>
      </c>
      <c r="R278" s="344">
        <f t="shared" si="122"/>
        <v>-37.102207571008236</v>
      </c>
      <c r="S278" s="346">
        <f t="shared" si="123"/>
        <v>142.89779242899175</v>
      </c>
      <c r="U278" s="319">
        <f t="shared" si="129"/>
        <v>17886.5</v>
      </c>
      <c r="V278" s="319">
        <f t="shared" si="130"/>
        <v>319926882.25</v>
      </c>
      <c r="X278" s="345">
        <f t="shared" si="124"/>
        <v>5.3937195243834166</v>
      </c>
      <c r="Y278" s="346">
        <f t="shared" si="125"/>
        <v>-19.59318450688205</v>
      </c>
      <c r="AA278" s="345">
        <f t="shared" si="126"/>
        <v>32.593761657098767</v>
      </c>
      <c r="AB278" s="346">
        <f t="shared" si="127"/>
        <v>-17.509023064126186</v>
      </c>
      <c r="AD278">
        <f t="shared" si="131"/>
        <v>0</v>
      </c>
      <c r="AE278">
        <f t="shared" si="108"/>
        <v>0</v>
      </c>
    </row>
    <row r="279" spans="1:31" x14ac:dyDescent="0.2">
      <c r="A279" s="347">
        <v>17990</v>
      </c>
      <c r="B279" s="364">
        <f t="shared" si="128"/>
        <v>17.989999999999998</v>
      </c>
      <c r="C279" s="337">
        <f t="shared" si="109"/>
        <v>1.0410140728648514</v>
      </c>
      <c r="D279" s="338">
        <f t="shared" si="110"/>
        <v>0.28163681699957621</v>
      </c>
      <c r="E279" s="338">
        <f t="shared" si="111"/>
        <v>1.0000005644788201</v>
      </c>
      <c r="F279" s="339">
        <f t="shared" si="112"/>
        <v>1.0625239334936367E-3</v>
      </c>
      <c r="G279" s="338">
        <f t="shared" si="113"/>
        <v>1</v>
      </c>
      <c r="H279" s="339">
        <f t="shared" si="114"/>
        <v>0</v>
      </c>
      <c r="I279" s="337">
        <f t="shared" si="115"/>
        <v>130218.73898294756</v>
      </c>
      <c r="J279" s="340">
        <f t="shared" si="116"/>
        <v>1.5707886474085977</v>
      </c>
      <c r="K279" s="348">
        <f t="shared" ref="K279:K342" si="132">SQRT(1+(A279/Zero2)^2)</f>
        <v>3.1536392820405279</v>
      </c>
      <c r="L279" s="349">
        <f t="shared" ref="L279:L342" si="133">ATAN(A279/Zero2)</f>
        <v>1.2481325740777371</v>
      </c>
      <c r="M279" s="337">
        <f t="shared" si="117"/>
        <v>1.0001561708935272</v>
      </c>
      <c r="N279" s="340">
        <f t="shared" si="118"/>
        <v>1.7672044125038214E-2</v>
      </c>
      <c r="O279" s="341">
        <f t="shared" si="119"/>
        <v>1.0000628946895886</v>
      </c>
      <c r="P279" s="342">
        <f t="shared" si="120"/>
        <v>2.6699983464878209E-2</v>
      </c>
      <c r="Q279" s="343">
        <f t="shared" si="121"/>
        <v>-0.23942354387365128</v>
      </c>
      <c r="R279" s="344">
        <f t="shared" si="122"/>
        <v>-37.104884020413884</v>
      </c>
      <c r="S279" s="346">
        <f t="shared" si="123"/>
        <v>142.89511597958611</v>
      </c>
      <c r="U279" s="319">
        <f t="shared" si="129"/>
        <v>17990</v>
      </c>
      <c r="V279" s="319">
        <f t="shared" si="130"/>
        <v>323640100</v>
      </c>
      <c r="X279" s="345">
        <f t="shared" si="124"/>
        <v>5.3886386471855587</v>
      </c>
      <c r="Y279" s="346">
        <f t="shared" si="125"/>
        <v>-19.499364802136828</v>
      </c>
      <c r="AA279" s="345">
        <f t="shared" si="126"/>
        <v>32.589904822287053</v>
      </c>
      <c r="AB279" s="346">
        <f t="shared" si="127"/>
        <v>-17.605519218277053</v>
      </c>
      <c r="AD279">
        <f t="shared" si="131"/>
        <v>0</v>
      </c>
      <c r="AE279">
        <f t="shared" si="108"/>
        <v>0</v>
      </c>
    </row>
    <row r="280" spans="1:31" x14ac:dyDescent="0.2">
      <c r="A280" s="347">
        <v>18093.5</v>
      </c>
      <c r="B280" s="364">
        <f t="shared" si="128"/>
        <v>18.093499999999999</v>
      </c>
      <c r="C280" s="337">
        <f t="shared" si="109"/>
        <v>1.0414779278574187</v>
      </c>
      <c r="D280" s="338">
        <f t="shared" si="110"/>
        <v>0.28317211305859918</v>
      </c>
      <c r="E280" s="338">
        <f t="shared" si="111"/>
        <v>1.000000570992617</v>
      </c>
      <c r="F280" s="339">
        <f t="shared" si="112"/>
        <v>1.0686368375310148E-3</v>
      </c>
      <c r="G280" s="338">
        <f t="shared" si="113"/>
        <v>1</v>
      </c>
      <c r="H280" s="339">
        <f t="shared" si="114"/>
        <v>0</v>
      </c>
      <c r="I280" s="337">
        <f t="shared" si="115"/>
        <v>130967.91293980929</v>
      </c>
      <c r="J280" s="340">
        <f t="shared" si="116"/>
        <v>1.5707886913368858</v>
      </c>
      <c r="K280" s="348">
        <f t="shared" si="132"/>
        <v>3.1699631796358618</v>
      </c>
      <c r="L280" s="349">
        <f t="shared" si="133"/>
        <v>1.2498538244120776</v>
      </c>
      <c r="M280" s="337">
        <f t="shared" si="117"/>
        <v>1.000157972883936</v>
      </c>
      <c r="N280" s="340">
        <f t="shared" si="118"/>
        <v>1.7773693512929713E-2</v>
      </c>
      <c r="O280" s="341">
        <f t="shared" si="119"/>
        <v>1.0000636209421494</v>
      </c>
      <c r="P280" s="342">
        <f t="shared" si="120"/>
        <v>2.6853611031466766E-2</v>
      </c>
      <c r="Q280" s="343">
        <f t="shared" si="121"/>
        <v>-0.24829924556064867</v>
      </c>
      <c r="R280" s="344">
        <f t="shared" si="122"/>
        <v>-37.108508190662185</v>
      </c>
      <c r="S280" s="346">
        <f t="shared" si="123"/>
        <v>142.89149180933782</v>
      </c>
      <c r="U280" s="319">
        <f t="shared" si="129"/>
        <v>18093.5</v>
      </c>
      <c r="V280" s="319">
        <f t="shared" si="130"/>
        <v>327374742.25</v>
      </c>
      <c r="X280" s="345">
        <f t="shared" si="124"/>
        <v>5.3836385928932105</v>
      </c>
      <c r="Y280" s="346">
        <f t="shared" si="125"/>
        <v>-19.406571020209395</v>
      </c>
      <c r="AA280" s="345">
        <f t="shared" si="126"/>
        <v>32.586029174892403</v>
      </c>
      <c r="AB280" s="346">
        <f t="shared" si="127"/>
        <v>-17.701937170452791</v>
      </c>
      <c r="AD280">
        <f t="shared" si="131"/>
        <v>0</v>
      </c>
      <c r="AE280">
        <f t="shared" si="108"/>
        <v>0</v>
      </c>
    </row>
    <row r="281" spans="1:31" x14ac:dyDescent="0.2">
      <c r="A281" s="347">
        <v>18197</v>
      </c>
      <c r="B281" s="364">
        <f t="shared" si="128"/>
        <v>18.196999999999999</v>
      </c>
      <c r="C281" s="337">
        <f t="shared" si="109"/>
        <v>1.0419442355638766</v>
      </c>
      <c r="D281" s="338">
        <f t="shared" si="110"/>
        <v>0.28470603852964071</v>
      </c>
      <c r="E281" s="338">
        <f t="shared" si="111"/>
        <v>1.0000005775437812</v>
      </c>
      <c r="F281" s="339">
        <f t="shared" si="112"/>
        <v>1.0747497414885282E-3</v>
      </c>
      <c r="G281" s="338">
        <f t="shared" si="113"/>
        <v>1</v>
      </c>
      <c r="H281" s="339">
        <f t="shared" si="114"/>
        <v>0</v>
      </c>
      <c r="I281" s="337">
        <f t="shared" si="115"/>
        <v>131717.08689667127</v>
      </c>
      <c r="J281" s="340">
        <f t="shared" si="116"/>
        <v>1.5707887347654677</v>
      </c>
      <c r="K281" s="348">
        <f t="shared" si="132"/>
        <v>3.1862963726436875</v>
      </c>
      <c r="L281" s="349">
        <f t="shared" si="133"/>
        <v>1.2515574332353323</v>
      </c>
      <c r="M281" s="337">
        <f t="shared" si="117"/>
        <v>1.0001597852085382</v>
      </c>
      <c r="N281" s="340">
        <f t="shared" si="118"/>
        <v>1.7875342533486993E-2</v>
      </c>
      <c r="O281" s="341">
        <f t="shared" si="119"/>
        <v>1.0000643513720398</v>
      </c>
      <c r="P281" s="342">
        <f t="shared" si="120"/>
        <v>2.7007238896023762E-2</v>
      </c>
      <c r="Q281" s="343">
        <f t="shared" si="121"/>
        <v>-0.25711457007961797</v>
      </c>
      <c r="R281" s="344">
        <f t="shared" si="122"/>
        <v>-37.113064583533358</v>
      </c>
      <c r="S281" s="346">
        <f t="shared" si="123"/>
        <v>142.88693541646666</v>
      </c>
      <c r="U281" s="319">
        <f t="shared" si="129"/>
        <v>18197</v>
      </c>
      <c r="V281" s="319">
        <f t="shared" si="130"/>
        <v>331130809</v>
      </c>
      <c r="X281" s="345">
        <f t="shared" si="124"/>
        <v>5.3787176751652765</v>
      </c>
      <c r="Y281" s="346">
        <f t="shared" si="125"/>
        <v>-19.314787972734788</v>
      </c>
      <c r="AA281" s="345">
        <f t="shared" si="126"/>
        <v>32.582134768101369</v>
      </c>
      <c r="AB281" s="346">
        <f t="shared" si="127"/>
        <v>-17.79827661079856</v>
      </c>
      <c r="AD281">
        <f t="shared" si="131"/>
        <v>0</v>
      </c>
      <c r="AE281">
        <f t="shared" si="108"/>
        <v>0</v>
      </c>
    </row>
    <row r="282" spans="1:31" x14ac:dyDescent="0.2">
      <c r="A282" s="347">
        <v>18303</v>
      </c>
      <c r="B282" s="364">
        <f t="shared" si="128"/>
        <v>18.303000000000001</v>
      </c>
      <c r="C282" s="337">
        <f t="shared" si="109"/>
        <v>1.0424243455980369</v>
      </c>
      <c r="D282" s="338">
        <f t="shared" si="110"/>
        <v>0.28627558907861728</v>
      </c>
      <c r="E282" s="338">
        <f t="shared" si="111"/>
        <v>1.0000005842919188</v>
      </c>
      <c r="F282" s="339">
        <f t="shared" si="112"/>
        <v>1.0810103000477467E-3</v>
      </c>
      <c r="G282" s="338">
        <f t="shared" si="113"/>
        <v>1</v>
      </c>
      <c r="H282" s="339">
        <f t="shared" si="114"/>
        <v>0</v>
      </c>
      <c r="I282" s="337">
        <f t="shared" si="115"/>
        <v>132484.3568428297</v>
      </c>
      <c r="J282" s="340">
        <f t="shared" si="116"/>
        <v>1.5707887787339494</v>
      </c>
      <c r="K282" s="348">
        <f t="shared" si="132"/>
        <v>3.2030335735553428</v>
      </c>
      <c r="L282" s="349">
        <f t="shared" si="133"/>
        <v>1.2532841779237993</v>
      </c>
      <c r="M282" s="337">
        <f t="shared" si="117"/>
        <v>1.0001616520206731</v>
      </c>
      <c r="N282" s="340">
        <f t="shared" si="118"/>
        <v>1.7979446461452577E-2</v>
      </c>
      <c r="O282" s="341">
        <f t="shared" si="119"/>
        <v>1.000065103775263</v>
      </c>
      <c r="P282" s="342">
        <f t="shared" si="120"/>
        <v>2.716457788919284E-2</v>
      </c>
      <c r="Q282" s="343">
        <f t="shared" si="121"/>
        <v>-0.26608190387133901</v>
      </c>
      <c r="R282" s="344">
        <f t="shared" si="122"/>
        <v>-37.118681414372965</v>
      </c>
      <c r="S282" s="346">
        <f t="shared" si="123"/>
        <v>142.88131858562704</v>
      </c>
      <c r="U282" s="319">
        <f t="shared" si="129"/>
        <v>18303</v>
      </c>
      <c r="V282" s="319">
        <f t="shared" si="130"/>
        <v>334999809</v>
      </c>
      <c r="X282" s="345">
        <f t="shared" si="124"/>
        <v>5.373758204794056</v>
      </c>
      <c r="Y282" s="346">
        <f t="shared" si="125"/>
        <v>-19.221820024594368</v>
      </c>
      <c r="AA282" s="345">
        <f t="shared" si="126"/>
        <v>32.578126904680865</v>
      </c>
      <c r="AB282" s="346">
        <f t="shared" si="127"/>
        <v>-17.896861389778596</v>
      </c>
      <c r="AD282">
        <f t="shared" si="131"/>
        <v>0</v>
      </c>
      <c r="AE282">
        <f t="shared" ref="AE282:AE345" si="134">IF(AD282&gt;0,S282,0)</f>
        <v>0</v>
      </c>
    </row>
    <row r="283" spans="1:31" x14ac:dyDescent="0.2">
      <c r="A283" s="347">
        <v>18409</v>
      </c>
      <c r="B283" s="364">
        <f t="shared" si="128"/>
        <v>18.408999999999999</v>
      </c>
      <c r="C283" s="337">
        <f t="shared" si="109"/>
        <v>1.0429070212649436</v>
      </c>
      <c r="D283" s="338">
        <f t="shared" si="110"/>
        <v>0.28784369065655985</v>
      </c>
      <c r="E283" s="338">
        <f t="shared" si="111"/>
        <v>1.0000005910792511</v>
      </c>
      <c r="F283" s="339">
        <f t="shared" si="112"/>
        <v>1.0872708585222253E-3</v>
      </c>
      <c r="G283" s="338">
        <f t="shared" si="113"/>
        <v>1</v>
      </c>
      <c r="H283" s="339">
        <f t="shared" si="114"/>
        <v>0</v>
      </c>
      <c r="I283" s="337">
        <f t="shared" si="115"/>
        <v>133251.62678898836</v>
      </c>
      <c r="J283" s="340">
        <f t="shared" si="116"/>
        <v>1.5707888221960853</v>
      </c>
      <c r="K283" s="348">
        <f t="shared" si="132"/>
        <v>3.2197802254769012</v>
      </c>
      <c r="L283" s="349">
        <f t="shared" si="133"/>
        <v>1.2549929654482515</v>
      </c>
      <c r="M283" s="337">
        <f t="shared" si="117"/>
        <v>1.0001635296721474</v>
      </c>
      <c r="N283" s="340">
        <f t="shared" si="118"/>
        <v>1.8083549999668522E-2</v>
      </c>
      <c r="O283" s="341">
        <f t="shared" si="119"/>
        <v>1.00006586056046</v>
      </c>
      <c r="P283" s="342">
        <f t="shared" si="120"/>
        <v>2.7321917198508072E-2</v>
      </c>
      <c r="Q283" s="343">
        <f t="shared" si="121"/>
        <v>-0.27498923861925811</v>
      </c>
      <c r="R283" s="344">
        <f t="shared" si="122"/>
        <v>-37.125244061775057</v>
      </c>
      <c r="S283" s="346">
        <f t="shared" si="123"/>
        <v>142.87475593822495</v>
      </c>
      <c r="U283" s="319">
        <f t="shared" si="129"/>
        <v>18409</v>
      </c>
      <c r="V283" s="319">
        <f t="shared" si="130"/>
        <v>338891281</v>
      </c>
      <c r="X283" s="345">
        <f t="shared" si="124"/>
        <v>5.3688782966763124</v>
      </c>
      <c r="Y283" s="346">
        <f t="shared" si="125"/>
        <v>-19.129880894822701</v>
      </c>
      <c r="AA283" s="345">
        <f t="shared" si="126"/>
        <v>32.574099478050698</v>
      </c>
      <c r="AB283" s="346">
        <f t="shared" si="127"/>
        <v>-17.995363166952348</v>
      </c>
      <c r="AD283">
        <f t="shared" si="131"/>
        <v>0</v>
      </c>
      <c r="AE283">
        <f t="shared" si="134"/>
        <v>0</v>
      </c>
    </row>
    <row r="284" spans="1:31" x14ac:dyDescent="0.2">
      <c r="A284" s="347">
        <v>18515</v>
      </c>
      <c r="B284" s="364">
        <f t="shared" si="128"/>
        <v>18.515000000000001</v>
      </c>
      <c r="C284" s="337">
        <f t="shared" si="109"/>
        <v>1.0433922590039937</v>
      </c>
      <c r="D284" s="338">
        <f t="shared" si="110"/>
        <v>0.28941033756798717</v>
      </c>
      <c r="E284" s="338">
        <f t="shared" si="111"/>
        <v>1.0000005979057778</v>
      </c>
      <c r="F284" s="339">
        <f t="shared" si="112"/>
        <v>1.0935314169114739E-3</v>
      </c>
      <c r="G284" s="338">
        <f t="shared" si="113"/>
        <v>1</v>
      </c>
      <c r="H284" s="339">
        <f t="shared" si="114"/>
        <v>0</v>
      </c>
      <c r="I284" s="337">
        <f t="shared" si="115"/>
        <v>134018.89673514728</v>
      </c>
      <c r="J284" s="340">
        <f t="shared" si="116"/>
        <v>1.5707888651605721</v>
      </c>
      <c r="K284" s="348">
        <f t="shared" si="132"/>
        <v>3.2365361817026628</v>
      </c>
      <c r="L284" s="349">
        <f t="shared" si="133"/>
        <v>1.2566840646508424</v>
      </c>
      <c r="M284" s="337">
        <f t="shared" si="117"/>
        <v>1.0001654181628996</v>
      </c>
      <c r="N284" s="340">
        <f t="shared" si="118"/>
        <v>1.8187653145880583E-2</v>
      </c>
      <c r="O284" s="341">
        <f t="shared" si="119"/>
        <v>1.0000666217278364</v>
      </c>
      <c r="P284" s="342">
        <f t="shared" si="120"/>
        <v>2.7479256825795485E-2</v>
      </c>
      <c r="Q284" s="343">
        <f t="shared" si="121"/>
        <v>-0.28383819223027984</v>
      </c>
      <c r="R284" s="344">
        <f t="shared" si="122"/>
        <v>-37.132736796365606</v>
      </c>
      <c r="S284" s="346">
        <f t="shared" si="123"/>
        <v>142.86726320363439</v>
      </c>
      <c r="U284" s="319">
        <f t="shared" si="129"/>
        <v>18515</v>
      </c>
      <c r="V284" s="319">
        <f t="shared" si="130"/>
        <v>342805225</v>
      </c>
      <c r="X284" s="345">
        <f t="shared" si="124"/>
        <v>5.3640762753072799</v>
      </c>
      <c r="Y284" s="346">
        <f t="shared" si="125"/>
        <v>-19.038955180268157</v>
      </c>
      <c r="AA284" s="345">
        <f t="shared" si="126"/>
        <v>32.5700525458087</v>
      </c>
      <c r="AB284" s="346">
        <f t="shared" si="127"/>
        <v>-18.093781616097431</v>
      </c>
      <c r="AD284">
        <f t="shared" si="131"/>
        <v>0</v>
      </c>
      <c r="AE284">
        <f t="shared" si="134"/>
        <v>0</v>
      </c>
    </row>
    <row r="285" spans="1:31" x14ac:dyDescent="0.2">
      <c r="A285" s="347">
        <v>18621</v>
      </c>
      <c r="B285" s="364">
        <f t="shared" si="128"/>
        <v>18.620999999999999</v>
      </c>
      <c r="C285" s="337">
        <f t="shared" si="109"/>
        <v>1.0438800552423224</v>
      </c>
      <c r="D285" s="338">
        <f t="shared" si="110"/>
        <v>0.29097552415654199</v>
      </c>
      <c r="E285" s="338">
        <f t="shared" si="111"/>
        <v>1.0000006047714991</v>
      </c>
      <c r="F285" s="339">
        <f t="shared" si="112"/>
        <v>1.0997919752150013E-3</v>
      </c>
      <c r="G285" s="338">
        <f t="shared" si="113"/>
        <v>1</v>
      </c>
      <c r="H285" s="339">
        <f t="shared" si="114"/>
        <v>0</v>
      </c>
      <c r="I285" s="337">
        <f t="shared" si="115"/>
        <v>134786.16668130644</v>
      </c>
      <c r="J285" s="340">
        <f t="shared" si="116"/>
        <v>1.5707889076359085</v>
      </c>
      <c r="K285" s="348">
        <f t="shared" si="132"/>
        <v>3.2533012984686502</v>
      </c>
      <c r="L285" s="349">
        <f t="shared" si="133"/>
        <v>1.2583577392413816</v>
      </c>
      <c r="M285" s="337">
        <f t="shared" si="117"/>
        <v>1.0001673174928687</v>
      </c>
      <c r="N285" s="340">
        <f t="shared" si="118"/>
        <v>1.829175589783455E-2</v>
      </c>
      <c r="O285" s="341">
        <f t="shared" si="119"/>
        <v>1.0000673872775996</v>
      </c>
      <c r="P285" s="342">
        <f t="shared" si="120"/>
        <v>2.7636596772881036E-2</v>
      </c>
      <c r="Q285" s="343">
        <f t="shared" si="121"/>
        <v>-0.29263033932313787</v>
      </c>
      <c r="R285" s="344">
        <f t="shared" si="122"/>
        <v>-37.14114418506248</v>
      </c>
      <c r="S285" s="346">
        <f t="shared" si="123"/>
        <v>142.85885581493753</v>
      </c>
      <c r="U285" s="319">
        <f t="shared" si="129"/>
        <v>18621</v>
      </c>
      <c r="V285" s="319">
        <f t="shared" si="130"/>
        <v>346741641</v>
      </c>
      <c r="X285" s="345">
        <f t="shared" si="124"/>
        <v>5.3593505083188724</v>
      </c>
      <c r="Y285" s="346">
        <f t="shared" si="125"/>
        <v>-18.949027771829382</v>
      </c>
      <c r="AA285" s="345">
        <f t="shared" si="126"/>
        <v>32.565986165704253</v>
      </c>
      <c r="AB285" s="346">
        <f t="shared" si="127"/>
        <v>-18.192116413233091</v>
      </c>
      <c r="AD285">
        <f t="shared" si="131"/>
        <v>0</v>
      </c>
      <c r="AE285">
        <f t="shared" si="134"/>
        <v>0</v>
      </c>
    </row>
    <row r="286" spans="1:31" x14ac:dyDescent="0.2">
      <c r="A286" s="347">
        <v>18729.5</v>
      </c>
      <c r="B286" s="364">
        <f t="shared" si="128"/>
        <v>18.729500000000002</v>
      </c>
      <c r="C286" s="337">
        <f t="shared" si="109"/>
        <v>1.0443820020906192</v>
      </c>
      <c r="D286" s="338">
        <f t="shared" si="110"/>
        <v>0.29257610726876504</v>
      </c>
      <c r="E286" s="338">
        <f t="shared" si="111"/>
        <v>1.00000061183974</v>
      </c>
      <c r="F286" s="339">
        <f t="shared" si="112"/>
        <v>1.1062001881062089E-3</v>
      </c>
      <c r="G286" s="338">
        <f t="shared" si="113"/>
        <v>1</v>
      </c>
      <c r="H286" s="339">
        <f t="shared" si="114"/>
        <v>0</v>
      </c>
      <c r="I286" s="337">
        <f t="shared" si="115"/>
        <v>135571.53261676207</v>
      </c>
      <c r="J286" s="340">
        <f t="shared" si="116"/>
        <v>1.5707889506150992</v>
      </c>
      <c r="K286" s="348">
        <f t="shared" si="132"/>
        <v>3.2704711590486406</v>
      </c>
      <c r="L286" s="349">
        <f t="shared" si="133"/>
        <v>1.2600531113879101</v>
      </c>
      <c r="M286" s="337">
        <f t="shared" si="117"/>
        <v>1.0001692728439859</v>
      </c>
      <c r="N286" s="340">
        <f t="shared" si="118"/>
        <v>1.8398313492703912E-2</v>
      </c>
      <c r="O286" s="341">
        <f t="shared" si="119"/>
        <v>1.0000681754216414</v>
      </c>
      <c r="P286" s="342">
        <f t="shared" si="120"/>
        <v>2.7797647900881736E-2</v>
      </c>
      <c r="Q286" s="343">
        <f t="shared" si="121"/>
        <v>-0.30157261590526901</v>
      </c>
      <c r="R286" s="344">
        <f t="shared" si="122"/>
        <v>-37.150681322818237</v>
      </c>
      <c r="S286" s="346">
        <f t="shared" si="123"/>
        <v>142.84931867718177</v>
      </c>
      <c r="U286" s="319">
        <f t="shared" si="129"/>
        <v>18729.5</v>
      </c>
      <c r="V286" s="319">
        <f t="shared" si="130"/>
        <v>350794170.25</v>
      </c>
      <c r="X286" s="345">
        <f t="shared" si="124"/>
        <v>5.3545905978825239</v>
      </c>
      <c r="Y286" s="346">
        <f t="shared" si="125"/>
        <v>-18.857997866012557</v>
      </c>
      <c r="AA286" s="345">
        <f t="shared" si="126"/>
        <v>32.561803799558469</v>
      </c>
      <c r="AB286" s="346">
        <f t="shared" si="127"/>
        <v>-18.292683456805673</v>
      </c>
      <c r="AD286">
        <f t="shared" si="131"/>
        <v>0</v>
      </c>
      <c r="AE286">
        <f t="shared" si="134"/>
        <v>0</v>
      </c>
    </row>
    <row r="287" spans="1:31" x14ac:dyDescent="0.2">
      <c r="A287" s="347">
        <v>18838</v>
      </c>
      <c r="B287" s="364">
        <f t="shared" si="128"/>
        <v>18.838000000000001</v>
      </c>
      <c r="C287" s="337">
        <f t="shared" si="109"/>
        <v>1.0448866219313748</v>
      </c>
      <c r="D287" s="338">
        <f t="shared" si="110"/>
        <v>0.29417514849597987</v>
      </c>
      <c r="E287" s="338">
        <f t="shared" si="111"/>
        <v>1.000000618949046</v>
      </c>
      <c r="F287" s="339">
        <f t="shared" si="112"/>
        <v>1.112608400906564E-3</v>
      </c>
      <c r="G287" s="338">
        <f t="shared" si="113"/>
        <v>1</v>
      </c>
      <c r="H287" s="339">
        <f t="shared" si="114"/>
        <v>0</v>
      </c>
      <c r="I287" s="337">
        <f t="shared" si="115"/>
        <v>136356.89855221793</v>
      </c>
      <c r="J287" s="340">
        <f t="shared" si="116"/>
        <v>1.5707889930992007</v>
      </c>
      <c r="K287" s="348">
        <f t="shared" si="132"/>
        <v>3.2876503216983206</v>
      </c>
      <c r="L287" s="349">
        <f t="shared" si="133"/>
        <v>1.2617307704486573</v>
      </c>
      <c r="M287" s="337">
        <f t="shared" si="117"/>
        <v>1.0001712395515014</v>
      </c>
      <c r="N287" s="340">
        <f t="shared" si="118"/>
        <v>1.8504870669719689E-2</v>
      </c>
      <c r="O287" s="341">
        <f t="shared" si="119"/>
        <v>1.0000689681576671</v>
      </c>
      <c r="P287" s="342">
        <f t="shared" si="120"/>
        <v>2.7958699367814307E-2</v>
      </c>
      <c r="Q287" s="343">
        <f t="shared" si="121"/>
        <v>-0.3104585799230023</v>
      </c>
      <c r="R287" s="344">
        <f t="shared" si="122"/>
        <v>-37.161144969245804</v>
      </c>
      <c r="S287" s="346">
        <f t="shared" si="123"/>
        <v>142.83885503075419</v>
      </c>
      <c r="U287" s="319">
        <f t="shared" si="129"/>
        <v>18838</v>
      </c>
      <c r="V287" s="319">
        <f t="shared" si="130"/>
        <v>354870244</v>
      </c>
      <c r="X287" s="345">
        <f t="shared" si="124"/>
        <v>5.3499072531289364</v>
      </c>
      <c r="Y287" s="346">
        <f t="shared" si="125"/>
        <v>-18.767982792946551</v>
      </c>
      <c r="AA287" s="345">
        <f t="shared" si="126"/>
        <v>32.557601180294327</v>
      </c>
      <c r="AB287" s="346">
        <f t="shared" si="127"/>
        <v>-18.393162176299263</v>
      </c>
      <c r="AD287">
        <f t="shared" si="131"/>
        <v>0</v>
      </c>
      <c r="AE287">
        <f t="shared" si="134"/>
        <v>0</v>
      </c>
    </row>
    <row r="288" spans="1:31" x14ac:dyDescent="0.2">
      <c r="A288" s="347">
        <v>18946.5</v>
      </c>
      <c r="B288" s="364">
        <f t="shared" si="128"/>
        <v>18.9465</v>
      </c>
      <c r="C288" s="337">
        <f t="shared" si="109"/>
        <v>1.0453939108937662</v>
      </c>
      <c r="D288" s="338">
        <f t="shared" si="110"/>
        <v>0.29577264189968555</v>
      </c>
      <c r="E288" s="338">
        <f t="shared" si="111"/>
        <v>1.0000006260994174</v>
      </c>
      <c r="F288" s="339">
        <f t="shared" si="112"/>
        <v>1.1190166136155399E-3</v>
      </c>
      <c r="G288" s="338">
        <f t="shared" si="113"/>
        <v>1</v>
      </c>
      <c r="H288" s="339">
        <f t="shared" si="114"/>
        <v>0</v>
      </c>
      <c r="I288" s="337">
        <f t="shared" si="115"/>
        <v>137142.26448767405</v>
      </c>
      <c r="J288" s="340">
        <f t="shared" si="116"/>
        <v>1.5707890350967193</v>
      </c>
      <c r="K288" s="348">
        <f t="shared" si="132"/>
        <v>3.3048386413560569</v>
      </c>
      <c r="L288" s="349">
        <f t="shared" si="133"/>
        <v>1.263390983280527</v>
      </c>
      <c r="M288" s="337">
        <f t="shared" si="117"/>
        <v>1.0001732176153486</v>
      </c>
      <c r="N288" s="340">
        <f t="shared" si="118"/>
        <v>1.8611427426464565E-2</v>
      </c>
      <c r="O288" s="341">
        <f t="shared" si="119"/>
        <v>1.0000697654859019</v>
      </c>
      <c r="P288" s="342">
        <f t="shared" si="120"/>
        <v>2.8119751175636695E-2</v>
      </c>
      <c r="Q288" s="343">
        <f t="shared" si="121"/>
        <v>-0.31928978753720783</v>
      </c>
      <c r="R288" s="344">
        <f t="shared" si="122"/>
        <v>-37.172519494780914</v>
      </c>
      <c r="S288" s="346">
        <f t="shared" si="123"/>
        <v>142.82748050521909</v>
      </c>
      <c r="U288" s="319">
        <f t="shared" si="129"/>
        <v>18946.5</v>
      </c>
      <c r="V288" s="319">
        <f t="shared" si="130"/>
        <v>358969862.25</v>
      </c>
      <c r="X288" s="345">
        <f t="shared" si="124"/>
        <v>5.3452988554873109</v>
      </c>
      <c r="Y288" s="346">
        <f t="shared" si="125"/>
        <v>-18.678967263205887</v>
      </c>
      <c r="AA288" s="345">
        <f t="shared" si="126"/>
        <v>32.553378370321738</v>
      </c>
      <c r="AB288" s="346">
        <f t="shared" si="127"/>
        <v>-18.493552231575027</v>
      </c>
      <c r="AD288">
        <f t="shared" si="131"/>
        <v>0</v>
      </c>
      <c r="AE288">
        <f t="shared" si="134"/>
        <v>0</v>
      </c>
    </row>
    <row r="289" spans="1:31" x14ac:dyDescent="0.2">
      <c r="A289" s="347">
        <v>19055</v>
      </c>
      <c r="B289" s="364">
        <f t="shared" si="128"/>
        <v>19.055</v>
      </c>
      <c r="C289" s="337">
        <f t="shared" si="109"/>
        <v>1.0459038650940256</v>
      </c>
      <c r="D289" s="338">
        <f t="shared" si="110"/>
        <v>0.29736858158447227</v>
      </c>
      <c r="E289" s="338">
        <f t="shared" si="111"/>
        <v>1.000000633290854</v>
      </c>
      <c r="F289" s="339">
        <f t="shared" si="112"/>
        <v>1.1254248262326106E-3</v>
      </c>
      <c r="G289" s="338">
        <f t="shared" si="113"/>
        <v>1</v>
      </c>
      <c r="H289" s="339">
        <f t="shared" si="114"/>
        <v>0</v>
      </c>
      <c r="I289" s="337">
        <f t="shared" si="115"/>
        <v>137927.63042313038</v>
      </c>
      <c r="J289" s="340">
        <f t="shared" si="116"/>
        <v>1.5707890766159662</v>
      </c>
      <c r="K289" s="348">
        <f t="shared" si="132"/>
        <v>3.3220359758859002</v>
      </c>
      <c r="L289" s="349">
        <f t="shared" si="133"/>
        <v>1.26503401160375</v>
      </c>
      <c r="M289" s="337">
        <f t="shared" si="117"/>
        <v>1.0001752070354599</v>
      </c>
      <c r="N289" s="340">
        <f t="shared" si="118"/>
        <v>1.8717983760521268E-2</v>
      </c>
      <c r="O289" s="341">
        <f t="shared" si="119"/>
        <v>1.0000705674065733</v>
      </c>
      <c r="P289" s="342">
        <f t="shared" si="120"/>
        <v>2.8280803326306742E-2</v>
      </c>
      <c r="Q289" s="343">
        <f t="shared" si="121"/>
        <v>-0.32806775290098422</v>
      </c>
      <c r="R289" s="344">
        <f t="shared" si="122"/>
        <v>-37.184789566626684</v>
      </c>
      <c r="S289" s="346">
        <f t="shared" si="123"/>
        <v>142.81521043337332</v>
      </c>
      <c r="U289" s="319">
        <f t="shared" si="129"/>
        <v>19055</v>
      </c>
      <c r="V289" s="319">
        <f t="shared" si="130"/>
        <v>363093025</v>
      </c>
      <c r="X289" s="345">
        <f t="shared" si="124"/>
        <v>5.3407638282390053</v>
      </c>
      <c r="Y289" s="346">
        <f t="shared" si="125"/>
        <v>-18.590936281663623</v>
      </c>
      <c r="AA289" s="345">
        <f t="shared" si="126"/>
        <v>32.54913543220627</v>
      </c>
      <c r="AB289" s="346">
        <f t="shared" si="127"/>
        <v>-18.593853284963071</v>
      </c>
      <c r="AD289">
        <f t="shared" si="131"/>
        <v>0</v>
      </c>
      <c r="AE289">
        <f t="shared" si="134"/>
        <v>0</v>
      </c>
    </row>
    <row r="290" spans="1:31" x14ac:dyDescent="0.2">
      <c r="A290" s="347">
        <v>19165.75</v>
      </c>
      <c r="B290" s="364">
        <f t="shared" si="128"/>
        <v>19.165749999999999</v>
      </c>
      <c r="C290" s="337">
        <f t="shared" si="109"/>
        <v>1.0464271390507205</v>
      </c>
      <c r="D290" s="338">
        <f t="shared" si="110"/>
        <v>0.29899600833263562</v>
      </c>
      <c r="E290" s="338">
        <f t="shared" si="111"/>
        <v>1.0000006406737731</v>
      </c>
      <c r="F290" s="339">
        <f t="shared" si="112"/>
        <v>1.1319659279560874E-3</v>
      </c>
      <c r="G290" s="338">
        <f t="shared" si="113"/>
        <v>1</v>
      </c>
      <c r="H290" s="339">
        <f t="shared" si="114"/>
        <v>0</v>
      </c>
      <c r="I290" s="337">
        <f t="shared" si="115"/>
        <v>138729.28274895358</v>
      </c>
      <c r="J290" s="340">
        <f t="shared" si="116"/>
        <v>1.5707891185113951</v>
      </c>
      <c r="K290" s="348">
        <f t="shared" si="132"/>
        <v>3.339599089773662</v>
      </c>
      <c r="L290" s="349">
        <f t="shared" si="133"/>
        <v>1.2666936557430399</v>
      </c>
      <c r="M290" s="337">
        <f t="shared" si="117"/>
        <v>1.0001772494227104</v>
      </c>
      <c r="N290" s="340">
        <f t="shared" si="118"/>
        <v>1.8826749349704033E-2</v>
      </c>
      <c r="O290" s="341">
        <f t="shared" si="119"/>
        <v>1.00007139069345</v>
      </c>
      <c r="P290" s="342">
        <f t="shared" si="120"/>
        <v>2.8445195623738723E-2</v>
      </c>
      <c r="Q290" s="343">
        <f t="shared" si="121"/>
        <v>-0.33697436981261064</v>
      </c>
      <c r="R290" s="344">
        <f t="shared" si="122"/>
        <v>-37.198222063056441</v>
      </c>
      <c r="S290" s="346">
        <f t="shared" si="123"/>
        <v>142.80177793694355</v>
      </c>
      <c r="U290" s="319">
        <f t="shared" si="129"/>
        <v>19165.75</v>
      </c>
      <c r="V290" s="319">
        <f t="shared" si="130"/>
        <v>367325973.0625</v>
      </c>
      <c r="X290" s="345">
        <f t="shared" si="124"/>
        <v>5.3362088300845842</v>
      </c>
      <c r="Y290" s="346">
        <f t="shared" si="125"/>
        <v>-18.502079886534833</v>
      </c>
      <c r="AA290" s="345">
        <f t="shared" si="126"/>
        <v>32.544783813449065</v>
      </c>
      <c r="AB290" s="346">
        <f t="shared" si="127"/>
        <v>-18.696142176521604</v>
      </c>
      <c r="AD290">
        <f t="shared" si="131"/>
        <v>0</v>
      </c>
      <c r="AE290">
        <f t="shared" si="134"/>
        <v>0</v>
      </c>
    </row>
    <row r="291" spans="1:31" x14ac:dyDescent="0.2">
      <c r="A291" s="347">
        <v>19276.5</v>
      </c>
      <c r="B291" s="364">
        <f t="shared" si="128"/>
        <v>19.276499999999999</v>
      </c>
      <c r="C291" s="337">
        <f t="shared" si="109"/>
        <v>1.0469531817136537</v>
      </c>
      <c r="D291" s="338">
        <f t="shared" si="110"/>
        <v>0.30062180397878863</v>
      </c>
      <c r="E291" s="338">
        <f t="shared" si="111"/>
        <v>1.0000006480994783</v>
      </c>
      <c r="F291" s="339">
        <f t="shared" si="112"/>
        <v>1.1385070295826995E-3</v>
      </c>
      <c r="G291" s="338">
        <f t="shared" si="113"/>
        <v>1</v>
      </c>
      <c r="H291" s="339">
        <f t="shared" si="114"/>
        <v>0</v>
      </c>
      <c r="I291" s="337">
        <f t="shared" si="115"/>
        <v>139530.93507477702</v>
      </c>
      <c r="J291" s="340">
        <f t="shared" si="116"/>
        <v>1.5707891599254173</v>
      </c>
      <c r="K291" s="348">
        <f t="shared" si="132"/>
        <v>3.3571713060549002</v>
      </c>
      <c r="L291" s="349">
        <f t="shared" si="133"/>
        <v>1.2683359304387771</v>
      </c>
      <c r="M291" s="337">
        <f t="shared" si="117"/>
        <v>1.0001793036419628</v>
      </c>
      <c r="N291" s="340">
        <f t="shared" si="118"/>
        <v>1.8935514493396852E-2</v>
      </c>
      <c r="O291" s="341">
        <f t="shared" si="119"/>
        <v>1.0000722187656903</v>
      </c>
      <c r="P291" s="342">
        <f t="shared" si="120"/>
        <v>2.8609588282507058E-2</v>
      </c>
      <c r="Q291" s="343">
        <f t="shared" si="121"/>
        <v>-0.34582857295992631</v>
      </c>
      <c r="R291" s="344">
        <f t="shared" si="122"/>
        <v>-37.21255626763547</v>
      </c>
      <c r="S291" s="346">
        <f t="shared" si="123"/>
        <v>142.78744373236452</v>
      </c>
      <c r="U291" s="319">
        <f t="shared" si="129"/>
        <v>19276.5</v>
      </c>
      <c r="V291" s="319">
        <f t="shared" si="130"/>
        <v>371583452.25</v>
      </c>
      <c r="X291" s="345">
        <f t="shared" si="124"/>
        <v>5.3317270850904794</v>
      </c>
      <c r="Y291" s="346">
        <f t="shared" si="125"/>
        <v>-18.414218634107982</v>
      </c>
      <c r="AA291" s="345">
        <f t="shared" si="126"/>
        <v>32.540411355295859</v>
      </c>
      <c r="AB291" s="346">
        <f t="shared" si="127"/>
        <v>-18.798337633527481</v>
      </c>
      <c r="AD291">
        <f t="shared" si="131"/>
        <v>0</v>
      </c>
      <c r="AE291">
        <f t="shared" si="134"/>
        <v>0</v>
      </c>
    </row>
    <row r="292" spans="1:31" x14ac:dyDescent="0.2">
      <c r="A292" s="347">
        <v>19387.25</v>
      </c>
      <c r="B292" s="364">
        <f t="shared" si="128"/>
        <v>19.387250000000002</v>
      </c>
      <c r="C292" s="337">
        <f t="shared" si="109"/>
        <v>1.0474819889115146</v>
      </c>
      <c r="D292" s="338">
        <f t="shared" si="110"/>
        <v>0.30224596239218932</v>
      </c>
      <c r="E292" s="338">
        <f t="shared" si="111"/>
        <v>1.0000006555679695</v>
      </c>
      <c r="F292" s="339">
        <f t="shared" si="112"/>
        <v>1.1450481311118873E-3</v>
      </c>
      <c r="G292" s="338">
        <f t="shared" si="113"/>
        <v>1</v>
      </c>
      <c r="H292" s="339">
        <f t="shared" si="114"/>
        <v>0</v>
      </c>
      <c r="I292" s="337">
        <f t="shared" si="115"/>
        <v>140332.58740060072</v>
      </c>
      <c r="J292" s="340">
        <f t="shared" si="116"/>
        <v>1.5707892008662827</v>
      </c>
      <c r="K292" s="348">
        <f t="shared" si="132"/>
        <v>3.3747524825421005</v>
      </c>
      <c r="L292" s="349">
        <f t="shared" si="133"/>
        <v>1.2699610982270282</v>
      </c>
      <c r="M292" s="337">
        <f t="shared" si="117"/>
        <v>1.0001813696931443</v>
      </c>
      <c r="N292" s="340">
        <f t="shared" si="118"/>
        <v>1.9044279189029126E-2</v>
      </c>
      <c r="O292" s="341">
        <f t="shared" si="119"/>
        <v>1.0000730516235401</v>
      </c>
      <c r="P292" s="342">
        <f t="shared" si="120"/>
        <v>2.8773981304693608E-2</v>
      </c>
      <c r="Q292" s="343">
        <f t="shared" si="121"/>
        <v>-0.35463184534358483</v>
      </c>
      <c r="R292" s="344">
        <f t="shared" si="122"/>
        <v>-37.227776787334228</v>
      </c>
      <c r="S292" s="346">
        <f t="shared" si="123"/>
        <v>142.77222321266578</v>
      </c>
      <c r="U292" s="319">
        <f t="shared" si="129"/>
        <v>19387.25</v>
      </c>
      <c r="V292" s="319">
        <f t="shared" si="130"/>
        <v>375865462.5625</v>
      </c>
      <c r="X292" s="345">
        <f t="shared" si="124"/>
        <v>5.3273170432326449</v>
      </c>
      <c r="Y292" s="346">
        <f t="shared" si="125"/>
        <v>-18.327337482499853</v>
      </c>
      <c r="AA292" s="345">
        <f t="shared" si="126"/>
        <v>32.536018124770031</v>
      </c>
      <c r="AB292" s="346">
        <f t="shared" si="127"/>
        <v>-18.900439304834375</v>
      </c>
      <c r="AD292">
        <f t="shared" si="131"/>
        <v>0</v>
      </c>
      <c r="AE292">
        <f t="shared" si="134"/>
        <v>0</v>
      </c>
    </row>
    <row r="293" spans="1:31" x14ac:dyDescent="0.2">
      <c r="A293" s="347">
        <v>19498</v>
      </c>
      <c r="B293" s="364">
        <f t="shared" si="128"/>
        <v>19.498000000000001</v>
      </c>
      <c r="C293" s="337">
        <f t="shared" si="109"/>
        <v>1.0480135564595119</v>
      </c>
      <c r="D293" s="338">
        <f t="shared" si="110"/>
        <v>0.30386847748898754</v>
      </c>
      <c r="E293" s="338">
        <f t="shared" si="111"/>
        <v>1.0000006630792466</v>
      </c>
      <c r="F293" s="339">
        <f t="shared" si="112"/>
        <v>1.1515892325430909E-3</v>
      </c>
      <c r="G293" s="338">
        <f t="shared" si="113"/>
        <v>1</v>
      </c>
      <c r="H293" s="339">
        <f t="shared" si="114"/>
        <v>0</v>
      </c>
      <c r="I293" s="337">
        <f t="shared" si="115"/>
        <v>141134.23972642462</v>
      </c>
      <c r="J293" s="340">
        <f t="shared" si="116"/>
        <v>1.5707892413420543</v>
      </c>
      <c r="K293" s="348">
        <f t="shared" si="132"/>
        <v>3.3923424799235966</v>
      </c>
      <c r="L293" s="349">
        <f t="shared" si="133"/>
        <v>1.2715694165642799</v>
      </c>
      <c r="M293" s="337">
        <f t="shared" si="117"/>
        <v>1.0001834475761813</v>
      </c>
      <c r="N293" s="340">
        <f t="shared" si="118"/>
        <v>1.9153043434030324E-2</v>
      </c>
      <c r="O293" s="341">
        <f t="shared" si="119"/>
        <v>1.0000738892672474</v>
      </c>
      <c r="P293" s="342">
        <f t="shared" si="120"/>
        <v>2.8938374692380149E-2</v>
      </c>
      <c r="Q293" s="343">
        <f t="shared" si="121"/>
        <v>-0.36338562966897719</v>
      </c>
      <c r="R293" s="344">
        <f t="shared" si="122"/>
        <v>-37.243868522837694</v>
      </c>
      <c r="S293" s="346">
        <f t="shared" si="123"/>
        <v>142.75613147716231</v>
      </c>
      <c r="U293" s="319">
        <f t="shared" si="129"/>
        <v>19498</v>
      </c>
      <c r="V293" s="319">
        <f t="shared" si="130"/>
        <v>380172004</v>
      </c>
      <c r="X293" s="345">
        <f t="shared" si="124"/>
        <v>5.3229771946251416</v>
      </c>
      <c r="Y293" s="346">
        <f t="shared" si="125"/>
        <v>-18.241421680855044</v>
      </c>
      <c r="AA293" s="345">
        <f t="shared" si="126"/>
        <v>32.531604189052146</v>
      </c>
      <c r="AB293" s="346">
        <f t="shared" si="127"/>
        <v>-19.002446841982653</v>
      </c>
      <c r="AD293">
        <f t="shared" si="131"/>
        <v>0</v>
      </c>
      <c r="AE293">
        <f t="shared" si="134"/>
        <v>0</v>
      </c>
    </row>
    <row r="294" spans="1:31" x14ac:dyDescent="0.2">
      <c r="A294" s="347">
        <v>19611.75</v>
      </c>
      <c r="B294" s="364">
        <f t="shared" si="128"/>
        <v>19.611750000000001</v>
      </c>
      <c r="C294" s="337">
        <f t="shared" si="109"/>
        <v>1.0485623922401999</v>
      </c>
      <c r="D294" s="338">
        <f t="shared" si="110"/>
        <v>0.30553322630164093</v>
      </c>
      <c r="E294" s="338">
        <f t="shared" si="111"/>
        <v>1.0000006708385298</v>
      </c>
      <c r="F294" s="339">
        <f t="shared" si="112"/>
        <v>1.1583075194635209E-3</v>
      </c>
      <c r="G294" s="338">
        <f t="shared" si="113"/>
        <v>1</v>
      </c>
      <c r="H294" s="339">
        <f t="shared" si="114"/>
        <v>0</v>
      </c>
      <c r="I294" s="337">
        <f t="shared" si="115"/>
        <v>141957.60723940426</v>
      </c>
      <c r="J294" s="340">
        <f t="shared" si="116"/>
        <v>1.5707892824383491</v>
      </c>
      <c r="K294" s="348">
        <f t="shared" si="132"/>
        <v>3.4104179949645701</v>
      </c>
      <c r="L294" s="349">
        <f t="shared" si="133"/>
        <v>1.273204026011125</v>
      </c>
      <c r="M294" s="337">
        <f t="shared" si="117"/>
        <v>1.0001855940618607</v>
      </c>
      <c r="N294" s="340">
        <f t="shared" si="118"/>
        <v>1.9264753417021899E-2</v>
      </c>
      <c r="O294" s="341">
        <f t="shared" si="119"/>
        <v>1.0000747545834103</v>
      </c>
      <c r="P294" s="342">
        <f t="shared" si="120"/>
        <v>2.9107221556761483E-2</v>
      </c>
      <c r="Q294" s="343">
        <f t="shared" si="121"/>
        <v>-0.37232649391035455</v>
      </c>
      <c r="R294" s="344">
        <f t="shared" si="122"/>
        <v>-37.261287529741729</v>
      </c>
      <c r="S294" s="346">
        <f t="shared" si="123"/>
        <v>142.73871247025826</v>
      </c>
      <c r="U294" s="319">
        <f t="shared" si="129"/>
        <v>19611.75</v>
      </c>
      <c r="V294" s="319">
        <f t="shared" si="130"/>
        <v>384620738.0625</v>
      </c>
      <c r="X294" s="345">
        <f t="shared" si="124"/>
        <v>5.3185913143052428</v>
      </c>
      <c r="Y294" s="346">
        <f t="shared" si="125"/>
        <v>-18.154168323498038</v>
      </c>
      <c r="AA294" s="345">
        <f t="shared" si="126"/>
        <v>32.527049205130666</v>
      </c>
      <c r="AB294" s="346">
        <f t="shared" si="127"/>
        <v>-19.107119206243684</v>
      </c>
      <c r="AD294">
        <f t="shared" si="131"/>
        <v>0</v>
      </c>
      <c r="AE294">
        <f t="shared" si="134"/>
        <v>0</v>
      </c>
    </row>
    <row r="295" spans="1:31" x14ac:dyDescent="0.2">
      <c r="A295" s="347">
        <v>19725.5</v>
      </c>
      <c r="B295" s="364">
        <f t="shared" si="128"/>
        <v>19.7255</v>
      </c>
      <c r="C295" s="337">
        <f t="shared" si="109"/>
        <v>1.0491141309495879</v>
      </c>
      <c r="D295" s="338">
        <f t="shared" si="110"/>
        <v>0.30719622870586127</v>
      </c>
      <c r="E295" s="338">
        <f t="shared" si="111"/>
        <v>1.0000006786429485</v>
      </c>
      <c r="F295" s="339">
        <f t="shared" si="112"/>
        <v>1.1650258062793899E-3</v>
      </c>
      <c r="G295" s="338">
        <f t="shared" si="113"/>
        <v>1</v>
      </c>
      <c r="H295" s="339">
        <f t="shared" si="114"/>
        <v>0</v>
      </c>
      <c r="I295" s="337">
        <f t="shared" si="115"/>
        <v>142780.97475238415</v>
      </c>
      <c r="J295" s="340">
        <f t="shared" si="116"/>
        <v>1.5707893230606684</v>
      </c>
      <c r="K295" s="348">
        <f t="shared" si="132"/>
        <v>3.4285025263669513</v>
      </c>
      <c r="L295" s="349">
        <f t="shared" si="133"/>
        <v>1.2748213953932845</v>
      </c>
      <c r="M295" s="337">
        <f t="shared" si="117"/>
        <v>1.0001877530289227</v>
      </c>
      <c r="N295" s="340">
        <f t="shared" si="118"/>
        <v>1.9376462919141708E-2</v>
      </c>
      <c r="O295" s="341">
        <f t="shared" si="119"/>
        <v>1.0000756249487546</v>
      </c>
      <c r="P295" s="342">
        <f t="shared" si="120"/>
        <v>2.9276068811163649E-2</v>
      </c>
      <c r="Q295" s="343">
        <f t="shared" si="121"/>
        <v>-0.3812181124698486</v>
      </c>
      <c r="R295" s="344">
        <f t="shared" si="122"/>
        <v>-37.279594225403088</v>
      </c>
      <c r="S295" s="346">
        <f t="shared" si="123"/>
        <v>142.72040577459691</v>
      </c>
      <c r="U295" s="319">
        <f t="shared" si="129"/>
        <v>19725.5</v>
      </c>
      <c r="V295" s="319">
        <f t="shared" si="130"/>
        <v>389095350.25</v>
      </c>
      <c r="X295" s="345">
        <f t="shared" si="124"/>
        <v>5.3142763776228001</v>
      </c>
      <c r="Y295" s="346">
        <f t="shared" si="125"/>
        <v>-18.067902694378475</v>
      </c>
      <c r="AA295" s="345">
        <f t="shared" si="126"/>
        <v>32.522472523253612</v>
      </c>
      <c r="AB295" s="346">
        <f t="shared" si="127"/>
        <v>-19.21169153102462</v>
      </c>
      <c r="AD295">
        <f t="shared" si="131"/>
        <v>0</v>
      </c>
      <c r="AE295">
        <f t="shared" si="134"/>
        <v>0</v>
      </c>
    </row>
    <row r="296" spans="1:31" x14ac:dyDescent="0.2">
      <c r="A296" s="347">
        <v>19839.25</v>
      </c>
      <c r="B296" s="364">
        <f t="shared" si="128"/>
        <v>19.83925</v>
      </c>
      <c r="C296" s="337">
        <f t="shared" si="109"/>
        <v>1.049668768010066</v>
      </c>
      <c r="D296" s="338">
        <f t="shared" si="110"/>
        <v>0.30885747826450327</v>
      </c>
      <c r="E296" s="338">
        <f t="shared" si="111"/>
        <v>1.0000006864925024</v>
      </c>
      <c r="F296" s="339">
        <f t="shared" si="112"/>
        <v>1.1717440929900908E-3</v>
      </c>
      <c r="G296" s="338">
        <f t="shared" si="113"/>
        <v>1</v>
      </c>
      <c r="H296" s="339">
        <f t="shared" si="114"/>
        <v>0</v>
      </c>
      <c r="I296" s="337">
        <f t="shared" si="115"/>
        <v>143604.34226536425</v>
      </c>
      <c r="J296" s="340">
        <f t="shared" si="116"/>
        <v>1.5707893632171648</v>
      </c>
      <c r="K296" s="348">
        <f t="shared" si="132"/>
        <v>3.4465959322022952</v>
      </c>
      <c r="L296" s="349">
        <f t="shared" si="133"/>
        <v>1.2764217876944721</v>
      </c>
      <c r="M296" s="337">
        <f t="shared" si="117"/>
        <v>1.0001899244772865</v>
      </c>
      <c r="N296" s="340">
        <f t="shared" si="118"/>
        <v>1.9488171937604822E-2</v>
      </c>
      <c r="O296" s="341">
        <f t="shared" si="119"/>
        <v>1.0000765003635521</v>
      </c>
      <c r="P296" s="342">
        <f t="shared" si="120"/>
        <v>2.9444916457841863E-2</v>
      </c>
      <c r="Q296" s="343">
        <f t="shared" si="121"/>
        <v>-0.39006192372192994</v>
      </c>
      <c r="R296" s="344">
        <f t="shared" si="122"/>
        <v>-37.298773173580422</v>
      </c>
      <c r="S296" s="346">
        <f t="shared" si="123"/>
        <v>142.70122682641957</v>
      </c>
      <c r="U296" s="319">
        <f t="shared" si="129"/>
        <v>19839.25</v>
      </c>
      <c r="V296" s="319">
        <f t="shared" si="130"/>
        <v>393595840.5625</v>
      </c>
      <c r="X296" s="345">
        <f t="shared" si="124"/>
        <v>5.3100308729160783</v>
      </c>
      <c r="Y296" s="346">
        <f t="shared" si="125"/>
        <v>-17.982609725946975</v>
      </c>
      <c r="AA296" s="345">
        <f t="shared" si="126"/>
        <v>32.51787421670825</v>
      </c>
      <c r="AB296" s="346">
        <f t="shared" si="127"/>
        <v>-19.31616344763345</v>
      </c>
      <c r="AD296">
        <f t="shared" si="131"/>
        <v>0</v>
      </c>
      <c r="AE296">
        <f t="shared" si="134"/>
        <v>0</v>
      </c>
    </row>
    <row r="297" spans="1:31" x14ac:dyDescent="0.2">
      <c r="A297" s="347">
        <v>19953</v>
      </c>
      <c r="B297" s="364">
        <f t="shared" si="128"/>
        <v>19.952999999999999</v>
      </c>
      <c r="C297" s="337">
        <f t="shared" si="109"/>
        <v>1.0502262988296727</v>
      </c>
      <c r="D297" s="338">
        <f t="shared" si="110"/>
        <v>0.31051696859268335</v>
      </c>
      <c r="E297" s="338">
        <f t="shared" si="111"/>
        <v>1.000000694387192</v>
      </c>
      <c r="F297" s="339">
        <f t="shared" si="112"/>
        <v>1.1784623795950177E-3</v>
      </c>
      <c r="G297" s="338">
        <f t="shared" si="113"/>
        <v>1</v>
      </c>
      <c r="H297" s="339">
        <f t="shared" si="114"/>
        <v>0</v>
      </c>
      <c r="I297" s="337">
        <f t="shared" si="115"/>
        <v>144427.70977834461</v>
      </c>
      <c r="J297" s="340">
        <f t="shared" si="116"/>
        <v>1.5707894029158049</v>
      </c>
      <c r="K297" s="348">
        <f t="shared" si="132"/>
        <v>3.4646980734379555</v>
      </c>
      <c r="L297" s="349">
        <f t="shared" si="133"/>
        <v>1.2780054607542353</v>
      </c>
      <c r="M297" s="337">
        <f t="shared" si="117"/>
        <v>1.000192108406871</v>
      </c>
      <c r="N297" s="340">
        <f t="shared" si="118"/>
        <v>1.9599880469626386E-2</v>
      </c>
      <c r="O297" s="341">
        <f t="shared" si="119"/>
        <v>1.0000773808280776</v>
      </c>
      <c r="P297" s="342">
        <f t="shared" si="120"/>
        <v>2.9613764499051225E-2</v>
      </c>
      <c r="Q297" s="343">
        <f t="shared" si="121"/>
        <v>-0.39885932644347488</v>
      </c>
      <c r="R297" s="344">
        <f t="shared" si="122"/>
        <v>-37.318809235755133</v>
      </c>
      <c r="S297" s="346">
        <f t="shared" si="123"/>
        <v>142.68119076424486</v>
      </c>
      <c r="U297" s="319">
        <f t="shared" si="129"/>
        <v>19953</v>
      </c>
      <c r="V297" s="319">
        <f t="shared" si="130"/>
        <v>398122209</v>
      </c>
      <c r="X297" s="345">
        <f t="shared" si="124"/>
        <v>5.3058533279593521</v>
      </c>
      <c r="Y297" s="346">
        <f t="shared" si="125"/>
        <v>-17.898274645382589</v>
      </c>
      <c r="AA297" s="345">
        <f t="shared" si="126"/>
        <v>32.513254358943435</v>
      </c>
      <c r="AB297" s="346">
        <f t="shared" si="127"/>
        <v>-19.420534590372533</v>
      </c>
      <c r="AD297">
        <f t="shared" si="131"/>
        <v>0</v>
      </c>
      <c r="AE297">
        <f t="shared" si="134"/>
        <v>0</v>
      </c>
    </row>
    <row r="298" spans="1:31" x14ac:dyDescent="0.2">
      <c r="A298" s="347">
        <v>20069</v>
      </c>
      <c r="B298" s="364">
        <f t="shared" si="128"/>
        <v>20.068999999999999</v>
      </c>
      <c r="C298" s="337">
        <f t="shared" si="109"/>
        <v>1.0507978331403784</v>
      </c>
      <c r="D298" s="338">
        <f t="shared" si="110"/>
        <v>0.31220746566824042</v>
      </c>
      <c r="E298" s="338">
        <f t="shared" si="111"/>
        <v>1.0000007024845234</v>
      </c>
      <c r="F298" s="339">
        <f t="shared" si="112"/>
        <v>1.1853135552759744E-3</v>
      </c>
      <c r="G298" s="338">
        <f t="shared" si="113"/>
        <v>1</v>
      </c>
      <c r="H298" s="339">
        <f t="shared" si="114"/>
        <v>0</v>
      </c>
      <c r="I298" s="337">
        <f t="shared" si="115"/>
        <v>145267.36368169184</v>
      </c>
      <c r="J298" s="340">
        <f t="shared" si="116"/>
        <v>1.570789442936233</v>
      </c>
      <c r="K298" s="348">
        <f t="shared" si="132"/>
        <v>3.4831671341099062</v>
      </c>
      <c r="L298" s="349">
        <f t="shared" si="133"/>
        <v>1.2796035026954071</v>
      </c>
      <c r="M298" s="337">
        <f t="shared" si="117"/>
        <v>1.0001943483889622</v>
      </c>
      <c r="N298" s="340">
        <f t="shared" si="118"/>
        <v>1.9713798117106211E-2</v>
      </c>
      <c r="O298" s="341">
        <f t="shared" si="119"/>
        <v>1.0000782839092133</v>
      </c>
      <c r="P298" s="342">
        <f t="shared" si="120"/>
        <v>2.9785952800276985E-2</v>
      </c>
      <c r="Q298" s="343">
        <f t="shared" si="121"/>
        <v>-0.40778435922742984</v>
      </c>
      <c r="R298" s="344">
        <f t="shared" si="122"/>
        <v>-37.340108937678863</v>
      </c>
      <c r="S298" s="346">
        <f t="shared" si="123"/>
        <v>142.65989106232115</v>
      </c>
      <c r="U298" s="319">
        <f t="shared" si="129"/>
        <v>20069</v>
      </c>
      <c r="V298" s="319">
        <f t="shared" si="130"/>
        <v>402764761</v>
      </c>
      <c r="X298" s="345">
        <f t="shared" si="124"/>
        <v>5.3016616533033929</v>
      </c>
      <c r="Y298" s="346">
        <f t="shared" si="125"/>
        <v>-17.813242879985662</v>
      </c>
      <c r="AA298" s="345">
        <f t="shared" si="126"/>
        <v>32.508521000815435</v>
      </c>
      <c r="AB298" s="346">
        <f t="shared" si="127"/>
        <v>-19.526866057693205</v>
      </c>
      <c r="AD298">
        <f t="shared" si="131"/>
        <v>0</v>
      </c>
      <c r="AE298">
        <f t="shared" si="134"/>
        <v>0</v>
      </c>
    </row>
    <row r="299" spans="1:31" x14ac:dyDescent="0.2">
      <c r="A299" s="347">
        <v>20185</v>
      </c>
      <c r="B299" s="364">
        <f t="shared" si="128"/>
        <v>20.184999999999999</v>
      </c>
      <c r="C299" s="337">
        <f t="shared" si="109"/>
        <v>1.0513723671306396</v>
      </c>
      <c r="D299" s="338">
        <f t="shared" si="110"/>
        <v>0.31389611998378758</v>
      </c>
      <c r="E299" s="338">
        <f t="shared" si="111"/>
        <v>1.0000007106287936</v>
      </c>
      <c r="F299" s="339">
        <f t="shared" si="112"/>
        <v>1.1921647308456571E-3</v>
      </c>
      <c r="G299" s="338">
        <f t="shared" si="113"/>
        <v>1</v>
      </c>
      <c r="H299" s="339">
        <f t="shared" si="114"/>
        <v>0</v>
      </c>
      <c r="I299" s="337">
        <f t="shared" si="115"/>
        <v>146107.01758503928</v>
      </c>
      <c r="J299" s="340">
        <f t="shared" si="116"/>
        <v>1.5707894824966793</v>
      </c>
      <c r="K299" s="348">
        <f t="shared" si="132"/>
        <v>3.5016449960326037</v>
      </c>
      <c r="L299" s="349">
        <f t="shared" si="133"/>
        <v>1.2811846831953315</v>
      </c>
      <c r="M299" s="337">
        <f t="shared" si="117"/>
        <v>1.0001966013507473</v>
      </c>
      <c r="N299" s="340">
        <f t="shared" si="118"/>
        <v>1.9827715252861044E-2</v>
      </c>
      <c r="O299" s="341">
        <f t="shared" si="119"/>
        <v>1.0000791922424026</v>
      </c>
      <c r="P299" s="342">
        <f t="shared" si="120"/>
        <v>2.9958141516532463E-2</v>
      </c>
      <c r="Q299" s="343">
        <f t="shared" si="121"/>
        <v>-0.41666394688253888</v>
      </c>
      <c r="R299" s="344">
        <f t="shared" si="122"/>
        <v>-37.362269114763471</v>
      </c>
      <c r="S299" s="346">
        <f t="shared" si="123"/>
        <v>142.63773088523652</v>
      </c>
      <c r="U299" s="319">
        <f t="shared" si="129"/>
        <v>20185</v>
      </c>
      <c r="V299" s="319">
        <f t="shared" si="130"/>
        <v>407434225</v>
      </c>
      <c r="X299" s="345">
        <f t="shared" si="124"/>
        <v>5.2975376812273698</v>
      </c>
      <c r="Y299" s="346">
        <f t="shared" si="125"/>
        <v>-17.729177148335118</v>
      </c>
      <c r="AA299" s="345">
        <f t="shared" si="126"/>
        <v>32.503765385236349</v>
      </c>
      <c r="AB299" s="346">
        <f t="shared" si="127"/>
        <v>-19.63309196642836</v>
      </c>
      <c r="AD299">
        <f t="shared" si="131"/>
        <v>0</v>
      </c>
      <c r="AE299">
        <f t="shared" si="134"/>
        <v>0</v>
      </c>
    </row>
    <row r="300" spans="1:31" x14ac:dyDescent="0.2">
      <c r="A300" s="347">
        <v>20301</v>
      </c>
      <c r="B300" s="364">
        <f t="shared" si="128"/>
        <v>20.300999999999998</v>
      </c>
      <c r="C300" s="337">
        <f t="shared" si="109"/>
        <v>1.0519498958855327</v>
      </c>
      <c r="D300" s="338">
        <f t="shared" si="110"/>
        <v>0.3155829249359951</v>
      </c>
      <c r="E300" s="338">
        <f t="shared" si="111"/>
        <v>1.0000007188200024</v>
      </c>
      <c r="F300" s="339">
        <f t="shared" si="112"/>
        <v>1.1990159063034228E-3</v>
      </c>
      <c r="G300" s="338">
        <f t="shared" si="113"/>
        <v>1</v>
      </c>
      <c r="H300" s="339">
        <f t="shared" si="114"/>
        <v>0</v>
      </c>
      <c r="I300" s="337">
        <f t="shared" si="115"/>
        <v>146946.67148838696</v>
      </c>
      <c r="J300" s="340">
        <f t="shared" si="116"/>
        <v>1.5707895216050283</v>
      </c>
      <c r="K300" s="348">
        <f t="shared" si="132"/>
        <v>3.5201315206075678</v>
      </c>
      <c r="L300" s="349">
        <f t="shared" si="133"/>
        <v>1.2827492599363555</v>
      </c>
      <c r="M300" s="337">
        <f t="shared" si="117"/>
        <v>1.0001988672921391</v>
      </c>
      <c r="N300" s="340">
        <f t="shared" si="118"/>
        <v>1.9941631873937722E-2</v>
      </c>
      <c r="O300" s="341">
        <f t="shared" si="119"/>
        <v>1.0000801058279416</v>
      </c>
      <c r="P300" s="342">
        <f t="shared" si="120"/>
        <v>3.0130330650208832E-2</v>
      </c>
      <c r="Q300" s="343">
        <f t="shared" si="121"/>
        <v>-0.42549945329785349</v>
      </c>
      <c r="R300" s="344">
        <f t="shared" si="122"/>
        <v>-37.385274624974691</v>
      </c>
      <c r="S300" s="346">
        <f t="shared" si="123"/>
        <v>142.6147253750253</v>
      </c>
      <c r="U300" s="319">
        <f t="shared" si="129"/>
        <v>20301</v>
      </c>
      <c r="V300" s="319">
        <f t="shared" si="130"/>
        <v>412130601</v>
      </c>
      <c r="X300" s="345">
        <f t="shared" si="124"/>
        <v>5.2934799694505976</v>
      </c>
      <c r="Y300" s="346">
        <f t="shared" si="125"/>
        <v>-17.646062686602576</v>
      </c>
      <c r="AA300" s="345">
        <f t="shared" si="126"/>
        <v>32.498987590597814</v>
      </c>
      <c r="AB300" s="346">
        <f t="shared" si="127"/>
        <v>-19.739211938372112</v>
      </c>
      <c r="AD300">
        <f t="shared" si="131"/>
        <v>0</v>
      </c>
      <c r="AE300">
        <f t="shared" si="134"/>
        <v>0</v>
      </c>
    </row>
    <row r="301" spans="1:31" x14ac:dyDescent="0.2">
      <c r="A301" s="347">
        <v>20417</v>
      </c>
      <c r="B301" s="364">
        <f t="shared" si="128"/>
        <v>20.417000000000002</v>
      </c>
      <c r="C301" s="337">
        <f t="shared" si="109"/>
        <v>1.05253041447533</v>
      </c>
      <c r="D301" s="338">
        <f t="shared" si="110"/>
        <v>0.31726787397808487</v>
      </c>
      <c r="E301" s="338">
        <f t="shared" si="111"/>
        <v>1.0000007270581499</v>
      </c>
      <c r="F301" s="339">
        <f t="shared" si="112"/>
        <v>1.205867081648628E-3</v>
      </c>
      <c r="G301" s="338">
        <f t="shared" si="113"/>
        <v>1</v>
      </c>
      <c r="H301" s="339">
        <f t="shared" si="114"/>
        <v>0</v>
      </c>
      <c r="I301" s="337">
        <f t="shared" si="115"/>
        <v>147786.32539173486</v>
      </c>
      <c r="J301" s="340">
        <f t="shared" si="116"/>
        <v>1.5707895602689859</v>
      </c>
      <c r="K301" s="348">
        <f t="shared" si="132"/>
        <v>3.538626572068285</v>
      </c>
      <c r="L301" s="349">
        <f t="shared" si="133"/>
        <v>1.2842974855425511</v>
      </c>
      <c r="M301" s="337">
        <f t="shared" si="117"/>
        <v>1.0002011462130496</v>
      </c>
      <c r="N301" s="340">
        <f t="shared" si="118"/>
        <v>2.0055547977383157E-2</v>
      </c>
      <c r="O301" s="341">
        <f t="shared" si="119"/>
        <v>1.0000810246661278</v>
      </c>
      <c r="P301" s="342">
        <f t="shared" si="120"/>
        <v>3.0302520203697159E-2</v>
      </c>
      <c r="Q301" s="343">
        <f t="shared" si="121"/>
        <v>-0.43429220456802387</v>
      </c>
      <c r="R301" s="344">
        <f t="shared" si="122"/>
        <v>-37.409110619325901</v>
      </c>
      <c r="S301" s="346">
        <f t="shared" si="123"/>
        <v>142.5908893806741</v>
      </c>
      <c r="U301" s="319">
        <f t="shared" si="129"/>
        <v>20417</v>
      </c>
      <c r="V301" s="319">
        <f t="shared" si="130"/>
        <v>416853889</v>
      </c>
      <c r="X301" s="345">
        <f t="shared" si="124"/>
        <v>5.2894871133266266</v>
      </c>
      <c r="Y301" s="346">
        <f t="shared" si="125"/>
        <v>-17.563885020767167</v>
      </c>
      <c r="AA301" s="345">
        <f t="shared" si="126"/>
        <v>32.494187695451615</v>
      </c>
      <c r="AB301" s="346">
        <f t="shared" si="127"/>
        <v>-19.845225598558748</v>
      </c>
      <c r="AD301">
        <f t="shared" si="131"/>
        <v>0</v>
      </c>
      <c r="AE301">
        <f t="shared" si="134"/>
        <v>0</v>
      </c>
    </row>
    <row r="302" spans="1:31" x14ac:dyDescent="0.2">
      <c r="A302" s="347">
        <v>20536</v>
      </c>
      <c r="B302" s="364">
        <f t="shared" si="128"/>
        <v>20.536000000000001</v>
      </c>
      <c r="C302" s="337">
        <f t="shared" si="109"/>
        <v>1.0531290481144822</v>
      </c>
      <c r="D302" s="338">
        <f t="shared" si="110"/>
        <v>0.31899446395928294</v>
      </c>
      <c r="E302" s="338">
        <f t="shared" si="111"/>
        <v>1.000000735558128</v>
      </c>
      <c r="F302" s="339">
        <f t="shared" si="112"/>
        <v>1.2128954424454673E-3</v>
      </c>
      <c r="G302" s="338">
        <f t="shared" si="113"/>
        <v>1</v>
      </c>
      <c r="H302" s="339">
        <f t="shared" si="114"/>
        <v>0</v>
      </c>
      <c r="I302" s="337">
        <f t="shared" si="115"/>
        <v>148647.69448223853</v>
      </c>
      <c r="J302" s="340">
        <f t="shared" si="116"/>
        <v>1.5707895994789871</v>
      </c>
      <c r="K302" s="348">
        <f t="shared" si="132"/>
        <v>3.5576086649649801</v>
      </c>
      <c r="L302" s="349">
        <f t="shared" si="133"/>
        <v>1.285869020113956</v>
      </c>
      <c r="M302" s="337">
        <f t="shared" si="117"/>
        <v>1.0002034975588512</v>
      </c>
      <c r="N302" s="340">
        <f t="shared" si="118"/>
        <v>2.0172409645972316E-2</v>
      </c>
      <c r="O302" s="341">
        <f t="shared" si="119"/>
        <v>1.0000819727258541</v>
      </c>
      <c r="P302" s="342">
        <f t="shared" si="120"/>
        <v>3.0479163374036979E-2</v>
      </c>
      <c r="Q302" s="343">
        <f t="shared" si="121"/>
        <v>-0.44326927775265101</v>
      </c>
      <c r="R302" s="344">
        <f t="shared" si="122"/>
        <v>-37.434410779620968</v>
      </c>
      <c r="S302" s="346">
        <f t="shared" si="123"/>
        <v>142.56558922037902</v>
      </c>
      <c r="U302" s="319">
        <f t="shared" si="129"/>
        <v>20536</v>
      </c>
      <c r="V302" s="319">
        <f t="shared" si="130"/>
        <v>421727296</v>
      </c>
      <c r="X302" s="345">
        <f t="shared" si="124"/>
        <v>5.2854569532592919</v>
      </c>
      <c r="Y302" s="346">
        <f t="shared" si="125"/>
        <v>-17.480540649336131</v>
      </c>
      <c r="AA302" s="345">
        <f t="shared" si="126"/>
        <v>32.489240782334321</v>
      </c>
      <c r="AB302" s="346">
        <f t="shared" si="127"/>
        <v>-19.953870130284841</v>
      </c>
      <c r="AD302">
        <f t="shared" si="131"/>
        <v>0</v>
      </c>
      <c r="AE302">
        <f t="shared" si="134"/>
        <v>0</v>
      </c>
    </row>
    <row r="303" spans="1:31" x14ac:dyDescent="0.2">
      <c r="A303" s="347">
        <v>20655</v>
      </c>
      <c r="B303" s="364">
        <f t="shared" si="128"/>
        <v>20.655000000000001</v>
      </c>
      <c r="C303" s="337">
        <f t="shared" si="109"/>
        <v>1.0537308176776847</v>
      </c>
      <c r="D303" s="338">
        <f t="shared" si="110"/>
        <v>0.32071908701860324</v>
      </c>
      <c r="E303" s="338">
        <f t="shared" si="111"/>
        <v>1.0000007441075041</v>
      </c>
      <c r="F303" s="339">
        <f t="shared" si="112"/>
        <v>1.2199238031224775E-3</v>
      </c>
      <c r="G303" s="338">
        <f t="shared" si="113"/>
        <v>1</v>
      </c>
      <c r="H303" s="339">
        <f t="shared" si="114"/>
        <v>0</v>
      </c>
      <c r="I303" s="337">
        <f t="shared" si="115"/>
        <v>149509.06357274242</v>
      </c>
      <c r="J303" s="340">
        <f t="shared" si="116"/>
        <v>1.5707896382371858</v>
      </c>
      <c r="K303" s="348">
        <f t="shared" si="132"/>
        <v>3.576599450886504</v>
      </c>
      <c r="L303" s="349">
        <f t="shared" si="133"/>
        <v>1.2874238696354956</v>
      </c>
      <c r="M303" s="337">
        <f t="shared" si="117"/>
        <v>1.0002058625640176</v>
      </c>
      <c r="N303" s="340">
        <f t="shared" si="118"/>
        <v>2.0289270763514267E-2</v>
      </c>
      <c r="O303" s="341">
        <f t="shared" si="119"/>
        <v>1.0000829263140694</v>
      </c>
      <c r="P303" s="342">
        <f t="shared" si="120"/>
        <v>3.0655806991281242E-2</v>
      </c>
      <c r="Q303" s="343">
        <f t="shared" si="121"/>
        <v>-0.45220406587128004</v>
      </c>
      <c r="R303" s="344">
        <f t="shared" si="122"/>
        <v>-37.460554194686544</v>
      </c>
      <c r="S303" s="346">
        <f t="shared" si="123"/>
        <v>142.53944580531345</v>
      </c>
      <c r="U303" s="319">
        <f t="shared" si="129"/>
        <v>20655</v>
      </c>
      <c r="V303" s="319">
        <f t="shared" si="130"/>
        <v>426629025</v>
      </c>
      <c r="X303" s="345">
        <f t="shared" si="124"/>
        <v>5.2814921687030409</v>
      </c>
      <c r="Y303" s="346">
        <f t="shared" si="125"/>
        <v>-17.398152203385372</v>
      </c>
      <c r="AA303" s="345">
        <f t="shared" si="126"/>
        <v>32.484270778771943</v>
      </c>
      <c r="AB303" s="346">
        <f t="shared" si="127"/>
        <v>-20.062401991301179</v>
      </c>
      <c r="AD303">
        <f t="shared" si="131"/>
        <v>0</v>
      </c>
      <c r="AE303">
        <f t="shared" si="134"/>
        <v>0</v>
      </c>
    </row>
    <row r="304" spans="1:31" x14ac:dyDescent="0.2">
      <c r="A304" s="347">
        <v>20774</v>
      </c>
      <c r="B304" s="364">
        <f t="shared" si="128"/>
        <v>20.774000000000001</v>
      </c>
      <c r="C304" s="337">
        <f t="shared" si="109"/>
        <v>1.0543357177953854</v>
      </c>
      <c r="D304" s="338">
        <f t="shared" si="110"/>
        <v>0.3224417362735828</v>
      </c>
      <c r="E304" s="338">
        <f t="shared" si="111"/>
        <v>1.0000007527062782</v>
      </c>
      <c r="F304" s="339">
        <f t="shared" si="112"/>
        <v>1.2269521636789646E-3</v>
      </c>
      <c r="G304" s="338">
        <f t="shared" si="113"/>
        <v>1</v>
      </c>
      <c r="H304" s="339">
        <f t="shared" si="114"/>
        <v>0</v>
      </c>
      <c r="I304" s="337">
        <f t="shared" si="115"/>
        <v>150370.43266324658</v>
      </c>
      <c r="J304" s="340">
        <f t="shared" si="116"/>
        <v>1.570789676551346</v>
      </c>
      <c r="K304" s="348">
        <f t="shared" si="132"/>
        <v>3.5955987920916503</v>
      </c>
      <c r="L304" s="349">
        <f t="shared" si="133"/>
        <v>1.2889622910232941</v>
      </c>
      <c r="M304" s="337">
        <f t="shared" si="117"/>
        <v>1.000208241228451</v>
      </c>
      <c r="N304" s="340">
        <f t="shared" si="118"/>
        <v>2.0406131326821099E-2</v>
      </c>
      <c r="O304" s="341">
        <f t="shared" si="119"/>
        <v>1.0000838854311001</v>
      </c>
      <c r="P304" s="342">
        <f t="shared" si="120"/>
        <v>3.0832451058010912E-2</v>
      </c>
      <c r="Q304" s="343">
        <f t="shared" si="121"/>
        <v>-0.46109788411009245</v>
      </c>
      <c r="R304" s="344">
        <f t="shared" si="122"/>
        <v>-37.487525750387078</v>
      </c>
      <c r="S304" s="346">
        <f t="shared" si="123"/>
        <v>142.51247424961292</v>
      </c>
      <c r="U304" s="319">
        <f t="shared" si="129"/>
        <v>20774</v>
      </c>
      <c r="V304" s="319">
        <f t="shared" si="130"/>
        <v>431559076</v>
      </c>
      <c r="X304" s="345">
        <f t="shared" si="124"/>
        <v>5.2775913591651813</v>
      </c>
      <c r="Y304" s="346">
        <f t="shared" si="125"/>
        <v>-17.316704962967478</v>
      </c>
      <c r="AA304" s="345">
        <f t="shared" si="126"/>
        <v>32.479277770070986</v>
      </c>
      <c r="AB304" s="346">
        <f t="shared" si="127"/>
        <v>-20.170820787419608</v>
      </c>
      <c r="AD304">
        <f t="shared" si="131"/>
        <v>0</v>
      </c>
      <c r="AE304">
        <f t="shared" si="134"/>
        <v>0</v>
      </c>
    </row>
    <row r="305" spans="1:31" x14ac:dyDescent="0.2">
      <c r="A305" s="347">
        <v>20893</v>
      </c>
      <c r="B305" s="364">
        <f t="shared" si="128"/>
        <v>20.893000000000001</v>
      </c>
      <c r="C305" s="337">
        <f t="shared" si="109"/>
        <v>1.0549437430824453</v>
      </c>
      <c r="D305" s="338">
        <f t="shared" si="110"/>
        <v>0.32416240490436155</v>
      </c>
      <c r="E305" s="338">
        <f t="shared" si="111"/>
        <v>1.0000007613544499</v>
      </c>
      <c r="F305" s="339">
        <f t="shared" si="112"/>
        <v>1.2339805241142338E-3</v>
      </c>
      <c r="G305" s="338">
        <f t="shared" si="113"/>
        <v>1</v>
      </c>
      <c r="H305" s="339">
        <f t="shared" si="114"/>
        <v>0</v>
      </c>
      <c r="I305" s="337">
        <f t="shared" si="115"/>
        <v>151231.80175375089</v>
      </c>
      <c r="J305" s="340">
        <f t="shared" si="116"/>
        <v>1.5707897144290555</v>
      </c>
      <c r="K305" s="348">
        <f t="shared" si="132"/>
        <v>3.6146065536738292</v>
      </c>
      <c r="L305" s="349">
        <f t="shared" si="133"/>
        <v>1.2904845361041137</v>
      </c>
      <c r="M305" s="337">
        <f t="shared" si="117"/>
        <v>1.0002106335520546</v>
      </c>
      <c r="N305" s="340">
        <f t="shared" si="118"/>
        <v>2.0522991332704993E-2</v>
      </c>
      <c r="O305" s="341">
        <f t="shared" si="119"/>
        <v>1.0000848500772752</v>
      </c>
      <c r="P305" s="342">
        <f t="shared" si="120"/>
        <v>3.1009095576806804E-2</v>
      </c>
      <c r="Q305" s="343">
        <f t="shared" si="121"/>
        <v>-0.46995201073220649</v>
      </c>
      <c r="R305" s="344">
        <f t="shared" si="122"/>
        <v>-37.51531062776268</v>
      </c>
      <c r="S305" s="346">
        <f t="shared" si="123"/>
        <v>142.48468937223731</v>
      </c>
      <c r="U305" s="319">
        <f t="shared" si="129"/>
        <v>20893</v>
      </c>
      <c r="V305" s="319">
        <f t="shared" si="130"/>
        <v>436517449</v>
      </c>
      <c r="X305" s="345">
        <f t="shared" si="124"/>
        <v>5.2737531609150601</v>
      </c>
      <c r="Y305" s="346">
        <f t="shared" si="125"/>
        <v>-17.236184499723858</v>
      </c>
      <c r="AA305" s="345">
        <f t="shared" si="126"/>
        <v>32.47426184169899</v>
      </c>
      <c r="AB305" s="346">
        <f t="shared" si="127"/>
        <v>-20.279126128038826</v>
      </c>
      <c r="AD305">
        <f t="shared" si="131"/>
        <v>0</v>
      </c>
      <c r="AE305">
        <f t="shared" si="134"/>
        <v>0</v>
      </c>
    </row>
    <row r="306" spans="1:31" x14ac:dyDescent="0.2">
      <c r="A306" s="347">
        <v>21014.75</v>
      </c>
      <c r="B306" s="364">
        <f t="shared" si="128"/>
        <v>21.014749999999999</v>
      </c>
      <c r="C306" s="337">
        <f t="shared" si="109"/>
        <v>1.0555690480760156</v>
      </c>
      <c r="D306" s="338">
        <f t="shared" si="110"/>
        <v>0.3259207800298905</v>
      </c>
      <c r="E306" s="338">
        <f t="shared" si="111"/>
        <v>1.000000770253598</v>
      </c>
      <c r="F306" s="339">
        <f t="shared" si="112"/>
        <v>1.2411713045174194E-3</v>
      </c>
      <c r="G306" s="338">
        <f t="shared" si="113"/>
        <v>1</v>
      </c>
      <c r="H306" s="339">
        <f t="shared" si="114"/>
        <v>0</v>
      </c>
      <c r="I306" s="337">
        <f t="shared" si="115"/>
        <v>152113.07643248141</v>
      </c>
      <c r="J306" s="340">
        <f t="shared" si="116"/>
        <v>1.570789752738126</v>
      </c>
      <c r="K306" s="348">
        <f t="shared" si="132"/>
        <v>3.6340621469628482</v>
      </c>
      <c r="L306" s="349">
        <f t="shared" si="133"/>
        <v>1.2920254751779643</v>
      </c>
      <c r="M306" s="337">
        <f t="shared" si="117"/>
        <v>1.0002130952966422</v>
      </c>
      <c r="N306" s="340">
        <f t="shared" si="118"/>
        <v>2.0642551304724636E-2</v>
      </c>
      <c r="O306" s="341">
        <f t="shared" si="119"/>
        <v>1.0000858427383206</v>
      </c>
      <c r="P306" s="342">
        <f t="shared" si="120"/>
        <v>3.1189822687384031E-2</v>
      </c>
      <c r="Q306" s="343">
        <f t="shared" si="121"/>
        <v>-0.4789709670216703</v>
      </c>
      <c r="R306" s="344">
        <f t="shared" si="122"/>
        <v>-37.54456417192592</v>
      </c>
      <c r="S306" s="346">
        <f t="shared" si="123"/>
        <v>142.45543582807409</v>
      </c>
      <c r="U306" s="319">
        <f t="shared" si="129"/>
        <v>21014.75</v>
      </c>
      <c r="V306" s="319">
        <f t="shared" si="130"/>
        <v>441619717.5625</v>
      </c>
      <c r="X306" s="345">
        <f t="shared" si="124"/>
        <v>5.2698896782852014</v>
      </c>
      <c r="Y306" s="346">
        <f t="shared" si="125"/>
        <v>-17.154747670955857</v>
      </c>
      <c r="AA306" s="345">
        <f t="shared" si="126"/>
        <v>32.469106368039391</v>
      </c>
      <c r="AB306" s="346">
        <f t="shared" si="127"/>
        <v>-20.389816500970063</v>
      </c>
      <c r="AD306">
        <f t="shared" si="131"/>
        <v>0</v>
      </c>
      <c r="AE306">
        <f t="shared" si="134"/>
        <v>0</v>
      </c>
    </row>
    <row r="307" spans="1:31" x14ac:dyDescent="0.2">
      <c r="A307" s="347">
        <v>21136.5</v>
      </c>
      <c r="B307" s="364">
        <f t="shared" si="128"/>
        <v>21.136500000000002</v>
      </c>
      <c r="C307" s="337">
        <f t="shared" si="109"/>
        <v>1.0561976128953463</v>
      </c>
      <c r="D307" s="338">
        <f t="shared" si="110"/>
        <v>0.32767706769022265</v>
      </c>
      <c r="E307" s="338">
        <f t="shared" si="111"/>
        <v>1.0000007792044534</v>
      </c>
      <c r="F307" s="339">
        <f t="shared" si="112"/>
        <v>1.2483620847922499E-3</v>
      </c>
      <c r="G307" s="338">
        <f t="shared" si="113"/>
        <v>1</v>
      </c>
      <c r="H307" s="339">
        <f t="shared" si="114"/>
        <v>0</v>
      </c>
      <c r="I307" s="337">
        <f t="shared" si="115"/>
        <v>152994.35111121213</v>
      </c>
      <c r="J307" s="340">
        <f t="shared" si="116"/>
        <v>1.5707897906058625</v>
      </c>
      <c r="K307" s="348">
        <f t="shared" si="132"/>
        <v>3.653526277393834</v>
      </c>
      <c r="L307" s="349">
        <f t="shared" si="133"/>
        <v>1.2935499991598782</v>
      </c>
      <c r="M307" s="337">
        <f t="shared" si="117"/>
        <v>1.0002155713387921</v>
      </c>
      <c r="N307" s="340">
        <f t="shared" si="118"/>
        <v>2.076211068650987E-2</v>
      </c>
      <c r="O307" s="341">
        <f t="shared" si="119"/>
        <v>1.000086841187714</v>
      </c>
      <c r="P307" s="342">
        <f t="shared" si="120"/>
        <v>3.13705502766276E-2</v>
      </c>
      <c r="Q307" s="343">
        <f t="shared" si="121"/>
        <v>-0.48795096950942024</v>
      </c>
      <c r="R307" s="344">
        <f t="shared" si="122"/>
        <v>-37.574638596961123</v>
      </c>
      <c r="S307" s="346">
        <f t="shared" si="123"/>
        <v>142.42536140303889</v>
      </c>
      <c r="U307" s="319">
        <f t="shared" si="129"/>
        <v>21136.5</v>
      </c>
      <c r="V307" s="319">
        <f t="shared" si="130"/>
        <v>446751632.25</v>
      </c>
      <c r="X307" s="345">
        <f t="shared" si="124"/>
        <v>5.2660889591880249</v>
      </c>
      <c r="Y307" s="346">
        <f t="shared" si="125"/>
        <v>-17.074251298572701</v>
      </c>
      <c r="AA307" s="345">
        <f t="shared" si="126"/>
        <v>32.463927084648816</v>
      </c>
      <c r="AB307" s="346">
        <f t="shared" si="127"/>
        <v>-20.500387298388425</v>
      </c>
      <c r="AD307">
        <f t="shared" si="131"/>
        <v>0</v>
      </c>
      <c r="AE307">
        <f t="shared" si="134"/>
        <v>0</v>
      </c>
    </row>
    <row r="308" spans="1:31" x14ac:dyDescent="0.2">
      <c r="A308" s="347">
        <v>21258.25</v>
      </c>
      <c r="B308" s="364">
        <f t="shared" si="128"/>
        <v>21.25825</v>
      </c>
      <c r="C308" s="337">
        <f t="shared" si="109"/>
        <v>1.0568294317239502</v>
      </c>
      <c r="D308" s="338">
        <f t="shared" si="110"/>
        <v>0.32943126078500468</v>
      </c>
      <c r="E308" s="338">
        <f t="shared" si="111"/>
        <v>1.0000007882070161</v>
      </c>
      <c r="F308" s="339">
        <f t="shared" si="112"/>
        <v>1.2555528649379809E-3</v>
      </c>
      <c r="G308" s="338">
        <f t="shared" si="113"/>
        <v>1</v>
      </c>
      <c r="H308" s="339">
        <f t="shared" si="114"/>
        <v>0</v>
      </c>
      <c r="I308" s="337">
        <f t="shared" si="115"/>
        <v>153875.62578994309</v>
      </c>
      <c r="J308" s="340">
        <f t="shared" si="116"/>
        <v>1.5707898280398478</v>
      </c>
      <c r="K308" s="348">
        <f t="shared" si="132"/>
        <v>3.6729988092454984</v>
      </c>
      <c r="L308" s="349">
        <f t="shared" si="133"/>
        <v>1.2950583619819969</v>
      </c>
      <c r="M308" s="337">
        <f t="shared" si="117"/>
        <v>1.0002180616783984</v>
      </c>
      <c r="N308" s="340">
        <f t="shared" si="118"/>
        <v>2.0881669474647022E-2</v>
      </c>
      <c r="O308" s="341">
        <f t="shared" si="119"/>
        <v>1.0000878454258131</v>
      </c>
      <c r="P308" s="342">
        <f t="shared" si="120"/>
        <v>3.1551278347300905E-2</v>
      </c>
      <c r="Q308" s="343">
        <f t="shared" si="121"/>
        <v>-0.49689327445541032</v>
      </c>
      <c r="R308" s="344">
        <f t="shared" si="122"/>
        <v>-37.605518947205255</v>
      </c>
      <c r="S308" s="346">
        <f t="shared" si="123"/>
        <v>142.39448105279473</v>
      </c>
      <c r="U308" s="319">
        <f t="shared" si="129"/>
        <v>21258.25</v>
      </c>
      <c r="V308" s="319">
        <f t="shared" si="130"/>
        <v>451913193.0625</v>
      </c>
      <c r="X308" s="345">
        <f t="shared" si="124"/>
        <v>5.2623496553364006</v>
      </c>
      <c r="Y308" s="346">
        <f t="shared" si="125"/>
        <v>-16.994680833573256</v>
      </c>
      <c r="AA308" s="345">
        <f t="shared" si="126"/>
        <v>32.458724083554451</v>
      </c>
      <c r="AB308" s="346">
        <f t="shared" si="127"/>
        <v>-20.610838113632003</v>
      </c>
      <c r="AD308">
        <f t="shared" si="131"/>
        <v>0</v>
      </c>
      <c r="AE308">
        <f t="shared" si="134"/>
        <v>0</v>
      </c>
    </row>
    <row r="309" spans="1:31" x14ac:dyDescent="0.2">
      <c r="A309" s="347">
        <v>21380</v>
      </c>
      <c r="B309" s="364">
        <f t="shared" si="128"/>
        <v>21.38</v>
      </c>
      <c r="C309" s="337">
        <f t="shared" si="109"/>
        <v>1.0574644987291648</v>
      </c>
      <c r="D309" s="338">
        <f t="shared" si="110"/>
        <v>0.33118335228237161</v>
      </c>
      <c r="E309" s="338">
        <f t="shared" si="111"/>
        <v>1.0000007972612861</v>
      </c>
      <c r="F309" s="339">
        <f t="shared" si="112"/>
        <v>1.2627436449538696E-3</v>
      </c>
      <c r="G309" s="338">
        <f t="shared" si="113"/>
        <v>1</v>
      </c>
      <c r="H309" s="339">
        <f t="shared" si="114"/>
        <v>0</v>
      </c>
      <c r="I309" s="337">
        <f t="shared" si="115"/>
        <v>154756.90046867426</v>
      </c>
      <c r="J309" s="340">
        <f t="shared" si="116"/>
        <v>1.5707898650474916</v>
      </c>
      <c r="K309" s="348">
        <f t="shared" si="132"/>
        <v>3.6924796096015253</v>
      </c>
      <c r="L309" s="349">
        <f t="shared" si="133"/>
        <v>1.2965508125153098</v>
      </c>
      <c r="M309" s="337">
        <f t="shared" si="117"/>
        <v>1.0002205663153543</v>
      </c>
      <c r="N309" s="340">
        <f t="shared" si="118"/>
        <v>2.1001227665722516E-2</v>
      </c>
      <c r="O309" s="341">
        <f t="shared" si="119"/>
        <v>1.0000888554529785</v>
      </c>
      <c r="P309" s="342">
        <f t="shared" si="120"/>
        <v>3.1732006902167167E-2</v>
      </c>
      <c r="Q309" s="343">
        <f t="shared" si="121"/>
        <v>-0.50579910245823578</v>
      </c>
      <c r="R309" s="344">
        <f t="shared" si="122"/>
        <v>-37.637190560892122</v>
      </c>
      <c r="S309" s="346">
        <f t="shared" si="123"/>
        <v>142.36280943910788</v>
      </c>
      <c r="U309" s="319">
        <f t="shared" si="129"/>
        <v>21380</v>
      </c>
      <c r="V309" s="319">
        <f t="shared" si="130"/>
        <v>457104400</v>
      </c>
      <c r="X309" s="345">
        <f t="shared" si="124"/>
        <v>5.2586704539462437</v>
      </c>
      <c r="Y309" s="346">
        <f t="shared" si="125"/>
        <v>-16.916022016929148</v>
      </c>
      <c r="AA309" s="345">
        <f t="shared" si="126"/>
        <v>32.453497456941783</v>
      </c>
      <c r="AB309" s="346">
        <f t="shared" si="127"/>
        <v>-20.721168543962971</v>
      </c>
      <c r="AD309">
        <f t="shared" si="131"/>
        <v>0</v>
      </c>
      <c r="AE309">
        <f t="shared" si="134"/>
        <v>0</v>
      </c>
    </row>
    <row r="310" spans="1:31" x14ac:dyDescent="0.2">
      <c r="A310" s="347">
        <v>21504.5</v>
      </c>
      <c r="B310" s="364">
        <f t="shared" si="128"/>
        <v>21.5045</v>
      </c>
      <c r="C310" s="337">
        <f t="shared" si="109"/>
        <v>1.0581172631261222</v>
      </c>
      <c r="D310" s="338">
        <f t="shared" si="110"/>
        <v>0.33297283814922318</v>
      </c>
      <c r="E310" s="338">
        <f t="shared" si="111"/>
        <v>1.00000080657354</v>
      </c>
      <c r="F310" s="339">
        <f t="shared" si="112"/>
        <v>1.2700968449172031E-3</v>
      </c>
      <c r="G310" s="338">
        <f t="shared" si="113"/>
        <v>1</v>
      </c>
      <c r="H310" s="339">
        <f t="shared" si="114"/>
        <v>0</v>
      </c>
      <c r="I310" s="337">
        <f t="shared" si="115"/>
        <v>155658.08073563158</v>
      </c>
      <c r="J310" s="340">
        <f t="shared" si="116"/>
        <v>1.5707899024576872</v>
      </c>
      <c r="K310" s="348">
        <f t="shared" si="132"/>
        <v>3.7124088431697317</v>
      </c>
      <c r="L310" s="349">
        <f t="shared" si="133"/>
        <v>1.2980607720885462</v>
      </c>
      <c r="M310" s="337">
        <f t="shared" si="117"/>
        <v>1.0002231423105106</v>
      </c>
      <c r="N310" s="340">
        <f t="shared" si="118"/>
        <v>2.1123485728820734E-2</v>
      </c>
      <c r="O310" s="341">
        <f t="shared" si="119"/>
        <v>1.0000898942809582</v>
      </c>
      <c r="P310" s="342">
        <f t="shared" si="120"/>
        <v>3.1916818125117354E-2</v>
      </c>
      <c r="Q310" s="343">
        <f t="shared" si="121"/>
        <v>-0.51486960224123368</v>
      </c>
      <c r="R310" s="344">
        <f t="shared" si="122"/>
        <v>-37.670380848048289</v>
      </c>
      <c r="S310" s="346">
        <f t="shared" si="123"/>
        <v>142.3296191519517</v>
      </c>
      <c r="U310" s="319">
        <f t="shared" si="129"/>
        <v>21504.5</v>
      </c>
      <c r="V310" s="319">
        <f t="shared" si="130"/>
        <v>462443520.25</v>
      </c>
      <c r="X310" s="345">
        <f t="shared" si="124"/>
        <v>5.254968971784888</v>
      </c>
      <c r="Y310" s="346">
        <f t="shared" si="125"/>
        <v>-16.836514720529763</v>
      </c>
      <c r="AA310" s="345">
        <f t="shared" si="126"/>
        <v>32.448128439320136</v>
      </c>
      <c r="AB310" s="346">
        <f t="shared" si="127"/>
        <v>-20.833866127518537</v>
      </c>
      <c r="AD310">
        <f t="shared" si="131"/>
        <v>0</v>
      </c>
      <c r="AE310">
        <f t="shared" si="134"/>
        <v>0</v>
      </c>
    </row>
    <row r="311" spans="1:31" x14ac:dyDescent="0.2">
      <c r="A311" s="347">
        <v>21629</v>
      </c>
      <c r="B311" s="364">
        <f t="shared" si="128"/>
        <v>21.629000000000001</v>
      </c>
      <c r="C311" s="337">
        <f t="shared" si="109"/>
        <v>1.0587734117049388</v>
      </c>
      <c r="D311" s="338">
        <f t="shared" si="110"/>
        <v>0.33476011175447012</v>
      </c>
      <c r="E311" s="338">
        <f t="shared" si="111"/>
        <v>1.0000008159398632</v>
      </c>
      <c r="F311" s="339">
        <f t="shared" si="112"/>
        <v>1.2774500447431893E-3</v>
      </c>
      <c r="G311" s="338">
        <f t="shared" si="113"/>
        <v>1</v>
      </c>
      <c r="H311" s="339">
        <f t="shared" si="114"/>
        <v>0</v>
      </c>
      <c r="I311" s="337">
        <f t="shared" si="115"/>
        <v>156559.26100258913</v>
      </c>
      <c r="J311" s="340">
        <f t="shared" si="116"/>
        <v>1.5707899394372047</v>
      </c>
      <c r="K311" s="348">
        <f t="shared" si="132"/>
        <v>3.7323464505459398</v>
      </c>
      <c r="L311" s="349">
        <f t="shared" si="133"/>
        <v>1.2995546031045986</v>
      </c>
      <c r="M311" s="337">
        <f t="shared" si="117"/>
        <v>1.0002257332559592</v>
      </c>
      <c r="N311" s="340">
        <f t="shared" si="118"/>
        <v>2.1245743160361357E-2</v>
      </c>
      <c r="O311" s="341">
        <f t="shared" si="119"/>
        <v>1.0000909391632444</v>
      </c>
      <c r="P311" s="342">
        <f t="shared" si="120"/>
        <v>3.210162986022437E-2</v>
      </c>
      <c r="Q311" s="343">
        <f t="shared" si="121"/>
        <v>-0.52390443077933002</v>
      </c>
      <c r="R311" s="344">
        <f t="shared" si="122"/>
        <v>-37.704368448699213</v>
      </c>
      <c r="S311" s="346">
        <f t="shared" si="123"/>
        <v>142.2956315513008</v>
      </c>
      <c r="U311" s="319">
        <f t="shared" si="129"/>
        <v>21629</v>
      </c>
      <c r="V311" s="319">
        <f t="shared" si="130"/>
        <v>467813641</v>
      </c>
      <c r="X311" s="345">
        <f t="shared" si="124"/>
        <v>5.2513276702536906</v>
      </c>
      <c r="Y311" s="346">
        <f t="shared" si="125"/>
        <v>-16.757931461526098</v>
      </c>
      <c r="AA311" s="345">
        <f t="shared" si="126"/>
        <v>32.442734912313242</v>
      </c>
      <c r="AB311" s="346">
        <f t="shared" si="127"/>
        <v>-20.946436987173122</v>
      </c>
      <c r="AD311">
        <f t="shared" si="131"/>
        <v>0</v>
      </c>
      <c r="AE311">
        <f t="shared" si="134"/>
        <v>0</v>
      </c>
    </row>
    <row r="312" spans="1:31" x14ac:dyDescent="0.2">
      <c r="A312" s="347">
        <v>21753.5</v>
      </c>
      <c r="B312" s="364">
        <f t="shared" si="128"/>
        <v>21.753499999999999</v>
      </c>
      <c r="C312" s="337">
        <f t="shared" si="109"/>
        <v>1.059432938177743</v>
      </c>
      <c r="D312" s="338">
        <f t="shared" si="110"/>
        <v>0.33654516580083116</v>
      </c>
      <c r="E312" s="338">
        <f t="shared" si="111"/>
        <v>1.0000008253602561</v>
      </c>
      <c r="F312" s="339">
        <f t="shared" si="112"/>
        <v>1.2848032444310329E-3</v>
      </c>
      <c r="G312" s="338">
        <f t="shared" si="113"/>
        <v>1</v>
      </c>
      <c r="H312" s="339">
        <f t="shared" si="114"/>
        <v>0</v>
      </c>
      <c r="I312" s="337">
        <f t="shared" si="115"/>
        <v>157460.44126954689</v>
      </c>
      <c r="J312" s="340">
        <f t="shared" si="116"/>
        <v>1.5707899759934385</v>
      </c>
      <c r="K312" s="348">
        <f t="shared" si="132"/>
        <v>3.7522922982487885</v>
      </c>
      <c r="L312" s="349">
        <f t="shared" si="133"/>
        <v>1.3010325560437044</v>
      </c>
      <c r="M312" s="337">
        <f t="shared" si="117"/>
        <v>1.0002283391515838</v>
      </c>
      <c r="N312" s="340">
        <f t="shared" si="118"/>
        <v>2.136799995669458E-2</v>
      </c>
      <c r="O312" s="341">
        <f t="shared" si="119"/>
        <v>1.000091990100229</v>
      </c>
      <c r="P312" s="342">
        <f t="shared" si="120"/>
        <v>3.2286442110442432E-2</v>
      </c>
      <c r="Q312" s="343">
        <f t="shared" si="121"/>
        <v>-0.53290478464937996</v>
      </c>
      <c r="R312" s="344">
        <f t="shared" si="122"/>
        <v>-37.73913859366484</v>
      </c>
      <c r="S312" s="346">
        <f t="shared" si="123"/>
        <v>142.26086140633515</v>
      </c>
      <c r="U312" s="319">
        <f t="shared" si="129"/>
        <v>21753.5</v>
      </c>
      <c r="V312" s="319">
        <f t="shared" si="130"/>
        <v>473214762.25</v>
      </c>
      <c r="X312" s="345">
        <f t="shared" si="124"/>
        <v>5.2477452537176674</v>
      </c>
      <c r="Y312" s="346">
        <f t="shared" si="125"/>
        <v>-16.680257888672212</v>
      </c>
      <c r="AA312" s="345">
        <f t="shared" si="126"/>
        <v>32.437316974979211</v>
      </c>
      <c r="AB312" s="346">
        <f t="shared" si="127"/>
        <v>-21.058880704992625</v>
      </c>
      <c r="AD312">
        <f t="shared" si="131"/>
        <v>0</v>
      </c>
      <c r="AE312">
        <f t="shared" si="134"/>
        <v>0</v>
      </c>
    </row>
    <row r="313" spans="1:31" x14ac:dyDescent="0.2">
      <c r="A313" s="347">
        <v>21878</v>
      </c>
      <c r="B313" s="364">
        <f t="shared" si="128"/>
        <v>21.878</v>
      </c>
      <c r="C313" s="337">
        <f t="shared" si="109"/>
        <v>1.0600958362399804</v>
      </c>
      <c r="D313" s="338">
        <f t="shared" si="110"/>
        <v>0.3383279930657172</v>
      </c>
      <c r="E313" s="338">
        <f t="shared" si="111"/>
        <v>1.0000008348347187</v>
      </c>
      <c r="F313" s="339">
        <f t="shared" si="112"/>
        <v>1.2921564439799392E-3</v>
      </c>
      <c r="G313" s="338">
        <f t="shared" si="113"/>
        <v>1</v>
      </c>
      <c r="H313" s="339">
        <f t="shared" si="114"/>
        <v>0</v>
      </c>
      <c r="I313" s="337">
        <f t="shared" si="115"/>
        <v>158361.62153650486</v>
      </c>
      <c r="J313" s="340">
        <f t="shared" si="116"/>
        <v>1.5707900121336151</v>
      </c>
      <c r="K313" s="348">
        <f t="shared" si="132"/>
        <v>3.7722462555654728</v>
      </c>
      <c r="L313" s="349">
        <f t="shared" si="133"/>
        <v>1.3024948763670259</v>
      </c>
      <c r="M313" s="337">
        <f t="shared" si="117"/>
        <v>1.0002309599972674</v>
      </c>
      <c r="N313" s="340">
        <f t="shared" si="118"/>
        <v>2.14902561141707E-2</v>
      </c>
      <c r="O313" s="341">
        <f t="shared" si="119"/>
        <v>1.0000930470923057</v>
      </c>
      <c r="P313" s="342">
        <f t="shared" si="120"/>
        <v>3.24712548787255E-2</v>
      </c>
      <c r="Q313" s="343">
        <f t="shared" si="121"/>
        <v>-0.54187182607263418</v>
      </c>
      <c r="R313" s="344">
        <f t="shared" si="122"/>
        <v>-37.774676805606909</v>
      </c>
      <c r="S313" s="346">
        <f t="shared" si="123"/>
        <v>142.2253231943931</v>
      </c>
      <c r="U313" s="319">
        <f t="shared" si="129"/>
        <v>21878</v>
      </c>
      <c r="V313" s="319">
        <f t="shared" si="130"/>
        <v>478646884</v>
      </c>
      <c r="X313" s="345">
        <f t="shared" si="124"/>
        <v>5.2442204607443532</v>
      </c>
      <c r="Y313" s="346">
        <f t="shared" si="125"/>
        <v>-16.603479938284423</v>
      </c>
      <c r="AA313" s="345">
        <f t="shared" si="126"/>
        <v>32.431874726529273</v>
      </c>
      <c r="AB313" s="346">
        <f t="shared" si="127"/>
        <v>-21.171196867322465</v>
      </c>
      <c r="AD313">
        <f t="shared" si="131"/>
        <v>0</v>
      </c>
      <c r="AE313">
        <f t="shared" si="134"/>
        <v>0</v>
      </c>
    </row>
    <row r="314" spans="1:31" x14ac:dyDescent="0.2">
      <c r="A314" s="347">
        <v>22005.25</v>
      </c>
      <c r="B314" s="364">
        <f t="shared" si="128"/>
        <v>22.00525</v>
      </c>
      <c r="C314" s="337">
        <f t="shared" si="109"/>
        <v>1.060776854169964</v>
      </c>
      <c r="D314" s="338">
        <f t="shared" si="110"/>
        <v>0.34014789150521862</v>
      </c>
      <c r="E314" s="338">
        <f t="shared" si="111"/>
        <v>1.0000008445743307</v>
      </c>
      <c r="F314" s="339">
        <f t="shared" si="112"/>
        <v>1.2996720634548002E-3</v>
      </c>
      <c r="G314" s="338">
        <f t="shared" si="113"/>
        <v>1</v>
      </c>
      <c r="H314" s="339">
        <f t="shared" si="114"/>
        <v>0</v>
      </c>
      <c r="I314" s="337">
        <f t="shared" si="115"/>
        <v>159282.70739168901</v>
      </c>
      <c r="J314" s="340">
        <f t="shared" si="116"/>
        <v>1.5707900486494759</v>
      </c>
      <c r="K314" s="348">
        <f t="shared" si="132"/>
        <v>3.7926492099818403</v>
      </c>
      <c r="L314" s="349">
        <f t="shared" si="133"/>
        <v>1.3039735929562857</v>
      </c>
      <c r="M314" s="337">
        <f t="shared" si="117"/>
        <v>1.000233654182034</v>
      </c>
      <c r="N314" s="340">
        <f t="shared" si="118"/>
        <v>2.161521204488109E-2</v>
      </c>
      <c r="O314" s="341">
        <f t="shared" si="119"/>
        <v>1.0000941336892002</v>
      </c>
      <c r="P314" s="342">
        <f t="shared" si="120"/>
        <v>3.2660150395180811E-2</v>
      </c>
      <c r="Q314" s="343">
        <f t="shared" si="121"/>
        <v>-0.55100368539573996</v>
      </c>
      <c r="R314" s="344">
        <f t="shared" si="122"/>
        <v>-37.811778927959644</v>
      </c>
      <c r="S314" s="346">
        <f t="shared" si="123"/>
        <v>142.18822107204036</v>
      </c>
      <c r="U314" s="319">
        <f t="shared" si="129"/>
        <v>22005.25</v>
      </c>
      <c r="V314" s="319">
        <f t="shared" si="130"/>
        <v>484231027.5625</v>
      </c>
      <c r="X314" s="345">
        <f t="shared" si="124"/>
        <v>5.2406760792812843</v>
      </c>
      <c r="Y314" s="346">
        <f t="shared" si="125"/>
        <v>-16.52591725819477</v>
      </c>
      <c r="AA314" s="345">
        <f t="shared" si="126"/>
        <v>32.42628724866924</v>
      </c>
      <c r="AB314" s="346">
        <f t="shared" si="127"/>
        <v>-21.285861669764863</v>
      </c>
      <c r="AD314">
        <f t="shared" si="131"/>
        <v>0</v>
      </c>
      <c r="AE314">
        <f t="shared" si="134"/>
        <v>0</v>
      </c>
    </row>
    <row r="315" spans="1:31" x14ac:dyDescent="0.2">
      <c r="A315" s="347">
        <v>22132.5</v>
      </c>
      <c r="B315" s="364">
        <f t="shared" si="128"/>
        <v>22.1325</v>
      </c>
      <c r="C315" s="337">
        <f t="shared" si="109"/>
        <v>1.0614613809100846</v>
      </c>
      <c r="D315" s="338">
        <f t="shared" si="110"/>
        <v>0.3419654486863406</v>
      </c>
      <c r="E315" s="338">
        <f t="shared" si="111"/>
        <v>1.0000008543704273</v>
      </c>
      <c r="F315" s="339">
        <f t="shared" si="112"/>
        <v>1.3071876827828388E-3</v>
      </c>
      <c r="G315" s="338">
        <f t="shared" si="113"/>
        <v>1</v>
      </c>
      <c r="H315" s="339">
        <f t="shared" si="114"/>
        <v>0</v>
      </c>
      <c r="I315" s="337">
        <f t="shared" si="115"/>
        <v>160203.79324687339</v>
      </c>
      <c r="J315" s="340">
        <f t="shared" si="116"/>
        <v>1.5707900847454437</v>
      </c>
      <c r="K315" s="348">
        <f t="shared" si="132"/>
        <v>3.8130603686562057</v>
      </c>
      <c r="L315" s="349">
        <f t="shared" si="133"/>
        <v>1.305436481695065</v>
      </c>
      <c r="M315" s="337">
        <f t="shared" si="117"/>
        <v>1.0002363639843492</v>
      </c>
      <c r="N315" s="340">
        <f t="shared" si="118"/>
        <v>2.1740167300490811E-2</v>
      </c>
      <c r="O315" s="341">
        <f t="shared" si="119"/>
        <v>1.0000952266124747</v>
      </c>
      <c r="P315" s="342">
        <f t="shared" si="120"/>
        <v>3.2849046459079732E-2</v>
      </c>
      <c r="Q315" s="343">
        <f t="shared" si="121"/>
        <v>-0.56010309422169069</v>
      </c>
      <c r="R315" s="344">
        <f t="shared" si="122"/>
        <v>-37.849653743756775</v>
      </c>
      <c r="S315" s="346">
        <f t="shared" si="123"/>
        <v>142.15034625624321</v>
      </c>
      <c r="U315" s="319">
        <f t="shared" si="129"/>
        <v>22132.5</v>
      </c>
      <c r="V315" s="319">
        <f t="shared" si="130"/>
        <v>489847556.25</v>
      </c>
      <c r="X315" s="345">
        <f t="shared" si="124"/>
        <v>5.2371893352356258</v>
      </c>
      <c r="Y315" s="346">
        <f t="shared" si="125"/>
        <v>-16.449261384398934</v>
      </c>
      <c r="AA315" s="345">
        <f t="shared" si="126"/>
        <v>32.420674583888946</v>
      </c>
      <c r="AB315" s="346">
        <f t="shared" si="127"/>
        <v>-21.400392359357838</v>
      </c>
      <c r="AD315">
        <f t="shared" si="131"/>
        <v>0</v>
      </c>
      <c r="AE315">
        <f t="shared" si="134"/>
        <v>0</v>
      </c>
    </row>
    <row r="316" spans="1:31" x14ac:dyDescent="0.2">
      <c r="A316" s="347">
        <v>22259.75</v>
      </c>
      <c r="B316" s="364">
        <f t="shared" si="128"/>
        <v>22.25975</v>
      </c>
      <c r="C316" s="337">
        <f t="shared" si="109"/>
        <v>1.0621494096763404</v>
      </c>
      <c r="D316" s="338">
        <f t="shared" si="110"/>
        <v>0.3437806571387092</v>
      </c>
      <c r="E316" s="338">
        <f t="shared" si="111"/>
        <v>1.0000008642230085</v>
      </c>
      <c r="F316" s="339">
        <f t="shared" si="112"/>
        <v>1.3147033019632051E-3</v>
      </c>
      <c r="G316" s="338">
        <f t="shared" si="113"/>
        <v>1</v>
      </c>
      <c r="H316" s="339">
        <f t="shared" si="114"/>
        <v>0</v>
      </c>
      <c r="I316" s="337">
        <f t="shared" si="115"/>
        <v>161124.87910205798</v>
      </c>
      <c r="J316" s="340">
        <f t="shared" si="116"/>
        <v>1.5707901204287191</v>
      </c>
      <c r="K316" s="348">
        <f t="shared" si="132"/>
        <v>3.8334796005391625</v>
      </c>
      <c r="L316" s="349">
        <f t="shared" si="133"/>
        <v>1.3068837891952048</v>
      </c>
      <c r="M316" s="337">
        <f t="shared" si="117"/>
        <v>1.000239089404086</v>
      </c>
      <c r="N316" s="340">
        <f t="shared" si="118"/>
        <v>2.1865121877103304E-2</v>
      </c>
      <c r="O316" s="341">
        <f t="shared" si="119"/>
        <v>1.0000963258625584</v>
      </c>
      <c r="P316" s="342">
        <f t="shared" si="120"/>
        <v>3.3037943073575715E-2</v>
      </c>
      <c r="Q316" s="343">
        <f t="shared" si="121"/>
        <v>-0.56917118906436259</v>
      </c>
      <c r="R316" s="344">
        <f t="shared" si="122"/>
        <v>-37.888286695529757</v>
      </c>
      <c r="S316" s="346">
        <f t="shared" si="123"/>
        <v>142.11171330447024</v>
      </c>
      <c r="U316" s="319">
        <f t="shared" si="129"/>
        <v>22259.75</v>
      </c>
      <c r="V316" s="319">
        <f t="shared" si="130"/>
        <v>495496470.0625</v>
      </c>
      <c r="X316" s="345">
        <f t="shared" si="124"/>
        <v>5.2337589856985893</v>
      </c>
      <c r="Y316" s="346">
        <f t="shared" si="125"/>
        <v>-16.373498187268542</v>
      </c>
      <c r="AA316" s="345">
        <f t="shared" si="126"/>
        <v>32.415036838583305</v>
      </c>
      <c r="AB316" s="346">
        <f t="shared" si="127"/>
        <v>-21.514788508261216</v>
      </c>
      <c r="AD316">
        <f t="shared" si="131"/>
        <v>0</v>
      </c>
      <c r="AE316">
        <f t="shared" si="134"/>
        <v>0</v>
      </c>
    </row>
    <row r="317" spans="1:31" x14ac:dyDescent="0.2">
      <c r="A317" s="347">
        <v>22387</v>
      </c>
      <c r="B317" s="364">
        <f t="shared" si="128"/>
        <v>22.387</v>
      </c>
      <c r="C317" s="337">
        <f t="shared" si="109"/>
        <v>1.0628409336676348</v>
      </c>
      <c r="D317" s="338">
        <f t="shared" si="110"/>
        <v>0.34559350947315676</v>
      </c>
      <c r="E317" s="338">
        <f t="shared" si="111"/>
        <v>1.0000008741320743</v>
      </c>
      <c r="F317" s="339">
        <f t="shared" si="112"/>
        <v>1.3222189209950504E-3</v>
      </c>
      <c r="G317" s="338">
        <f t="shared" si="113"/>
        <v>1</v>
      </c>
      <c r="H317" s="339">
        <f t="shared" si="114"/>
        <v>0</v>
      </c>
      <c r="I317" s="337">
        <f t="shared" si="115"/>
        <v>162045.96495724272</v>
      </c>
      <c r="J317" s="340">
        <f t="shared" si="116"/>
        <v>1.57079015570634</v>
      </c>
      <c r="K317" s="348">
        <f t="shared" si="132"/>
        <v>3.853906777307381</v>
      </c>
      <c r="L317" s="349">
        <f t="shared" si="133"/>
        <v>1.3083157571042139</v>
      </c>
      <c r="M317" s="337">
        <f t="shared" si="117"/>
        <v>1.0002418304411169</v>
      </c>
      <c r="N317" s="340">
        <f t="shared" si="118"/>
        <v>2.199007577082215E-2</v>
      </c>
      <c r="O317" s="341">
        <f t="shared" si="119"/>
        <v>1.0000974314398809</v>
      </c>
      <c r="P317" s="342">
        <f t="shared" si="120"/>
        <v>3.3226840241822014E-2</v>
      </c>
      <c r="Q317" s="343">
        <f t="shared" si="121"/>
        <v>-0.57820907341872019</v>
      </c>
      <c r="R317" s="344">
        <f t="shared" si="122"/>
        <v>-37.927663514888778</v>
      </c>
      <c r="S317" s="346">
        <f t="shared" si="123"/>
        <v>142.07233648511124</v>
      </c>
      <c r="U317" s="319">
        <f t="shared" si="129"/>
        <v>22387</v>
      </c>
      <c r="V317" s="319">
        <f t="shared" si="130"/>
        <v>501177769</v>
      </c>
      <c r="X317" s="345">
        <f t="shared" si="124"/>
        <v>5.2303838206351774</v>
      </c>
      <c r="Y317" s="346">
        <f t="shared" si="125"/>
        <v>-16.298613821601183</v>
      </c>
      <c r="AA317" s="345">
        <f t="shared" si="126"/>
        <v>32.409374119292366</v>
      </c>
      <c r="AB317" s="346">
        <f t="shared" si="127"/>
        <v>-21.629049693287598</v>
      </c>
      <c r="AD317">
        <f t="shared" si="131"/>
        <v>0</v>
      </c>
      <c r="AE317">
        <f t="shared" si="134"/>
        <v>0</v>
      </c>
    </row>
    <row r="318" spans="1:31" x14ac:dyDescent="0.2">
      <c r="A318" s="347">
        <v>22517.5</v>
      </c>
      <c r="B318" s="364">
        <f t="shared" si="128"/>
        <v>22.517499999999998</v>
      </c>
      <c r="C318" s="337">
        <f t="shared" si="109"/>
        <v>1.0635537424986679</v>
      </c>
      <c r="D318" s="338">
        <f t="shared" si="110"/>
        <v>0.34745020775013508</v>
      </c>
      <c r="E318" s="338">
        <f t="shared" si="111"/>
        <v>1.0000008843528871</v>
      </c>
      <c r="F318" s="339">
        <f t="shared" si="112"/>
        <v>1.3299264908489853E-3</v>
      </c>
      <c r="G318" s="338">
        <f t="shared" si="113"/>
        <v>1</v>
      </c>
      <c r="H318" s="339">
        <f t="shared" si="114"/>
        <v>0</v>
      </c>
      <c r="I318" s="337">
        <f t="shared" si="115"/>
        <v>162990.57559851298</v>
      </c>
      <c r="J318" s="340">
        <f t="shared" si="116"/>
        <v>1.5707901914708366</v>
      </c>
      <c r="K318" s="348">
        <f t="shared" si="132"/>
        <v>3.8748637900215432</v>
      </c>
      <c r="L318" s="349">
        <f t="shared" si="133"/>
        <v>1.3097686136225724</v>
      </c>
      <c r="M318" s="337">
        <f t="shared" si="117"/>
        <v>1.0002446577055455</v>
      </c>
      <c r="N318" s="340">
        <f t="shared" si="118"/>
        <v>2.2118220307995429E-2</v>
      </c>
      <c r="O318" s="341">
        <f t="shared" si="119"/>
        <v>1.0000985718261082</v>
      </c>
      <c r="P318" s="342">
        <f t="shared" si="120"/>
        <v>3.3420562474149401E-2</v>
      </c>
      <c r="Q318" s="343">
        <f t="shared" si="121"/>
        <v>-0.58744753228081881</v>
      </c>
      <c r="R318" s="344">
        <f t="shared" si="122"/>
        <v>-37.968803988685529</v>
      </c>
      <c r="S318" s="346">
        <f t="shared" si="123"/>
        <v>142.03119601131448</v>
      </c>
      <c r="U318" s="319">
        <f t="shared" si="129"/>
        <v>22517.5</v>
      </c>
      <c r="V318" s="319">
        <f t="shared" si="130"/>
        <v>507037806.25</v>
      </c>
      <c r="X318" s="345">
        <f t="shared" si="124"/>
        <v>5.2269785356209528</v>
      </c>
      <c r="Y318" s="346">
        <f t="shared" si="125"/>
        <v>-16.222715465076845</v>
      </c>
      <c r="AA318" s="345">
        <f t="shared" si="126"/>
        <v>32.40354094544449</v>
      </c>
      <c r="AB318" s="346">
        <f t="shared" si="127"/>
        <v>-21.74608852360868</v>
      </c>
      <c r="AD318">
        <f t="shared" si="131"/>
        <v>0</v>
      </c>
      <c r="AE318">
        <f t="shared" si="134"/>
        <v>0</v>
      </c>
    </row>
    <row r="319" spans="1:31" x14ac:dyDescent="0.2">
      <c r="A319" s="347">
        <v>22648</v>
      </c>
      <c r="B319" s="364">
        <f t="shared" si="128"/>
        <v>22.648</v>
      </c>
      <c r="C319" s="337">
        <f t="shared" si="109"/>
        <v>1.0642702128301886</v>
      </c>
      <c r="D319" s="338">
        <f t="shared" si="110"/>
        <v>0.34930441254080719</v>
      </c>
      <c r="E319" s="338">
        <f t="shared" si="111"/>
        <v>1.0000008946331069</v>
      </c>
      <c r="F319" s="339">
        <f t="shared" si="112"/>
        <v>1.3376340605449069E-3</v>
      </c>
      <c r="G319" s="338">
        <f t="shared" si="113"/>
        <v>1</v>
      </c>
      <c r="H319" s="339">
        <f t="shared" si="114"/>
        <v>0</v>
      </c>
      <c r="I319" s="337">
        <f t="shared" si="115"/>
        <v>163935.18623978345</v>
      </c>
      <c r="J319" s="340">
        <f t="shared" si="116"/>
        <v>1.5707902268231764</v>
      </c>
      <c r="K319" s="348">
        <f t="shared" si="132"/>
        <v>3.8958288937617422</v>
      </c>
      <c r="L319" s="349">
        <f t="shared" si="133"/>
        <v>1.3112058362761028</v>
      </c>
      <c r="M319" s="337">
        <f t="shared" si="117"/>
        <v>1.0002475013949212</v>
      </c>
      <c r="N319" s="340">
        <f t="shared" si="118"/>
        <v>2.2246364118646771E-2</v>
      </c>
      <c r="O319" s="341">
        <f t="shared" si="119"/>
        <v>1.0000997188678264</v>
      </c>
      <c r="P319" s="342">
        <f t="shared" si="120"/>
        <v>3.3614285295590983E-2</v>
      </c>
      <c r="Q319" s="343">
        <f t="shared" si="121"/>
        <v>-0.59665646646013937</v>
      </c>
      <c r="R319" s="344">
        <f t="shared" si="122"/>
        <v>-38.01069731923495</v>
      </c>
      <c r="S319" s="346">
        <f t="shared" si="123"/>
        <v>141.98930268076504</v>
      </c>
      <c r="U319" s="319">
        <f t="shared" si="129"/>
        <v>22648</v>
      </c>
      <c r="V319" s="319">
        <f t="shared" si="130"/>
        <v>512931904</v>
      </c>
      <c r="X319" s="345">
        <f t="shared" si="124"/>
        <v>5.2236288138406852</v>
      </c>
      <c r="Y319" s="346">
        <f t="shared" si="125"/>
        <v>-16.147712797784163</v>
      </c>
      <c r="AA319" s="345">
        <f t="shared" si="126"/>
        <v>32.397681733045438</v>
      </c>
      <c r="AB319" s="346">
        <f t="shared" si="127"/>
        <v>-21.862984521450791</v>
      </c>
      <c r="AD319">
        <f t="shared" si="131"/>
        <v>0</v>
      </c>
      <c r="AE319">
        <f t="shared" si="134"/>
        <v>0</v>
      </c>
    </row>
    <row r="320" spans="1:31" x14ac:dyDescent="0.2">
      <c r="A320" s="347">
        <v>22778.5</v>
      </c>
      <c r="B320" s="364">
        <f t="shared" si="128"/>
        <v>22.778500000000001</v>
      </c>
      <c r="C320" s="337">
        <f t="shared" si="109"/>
        <v>1.0649903372723937</v>
      </c>
      <c r="D320" s="338">
        <f t="shared" si="110"/>
        <v>0.35115611614075015</v>
      </c>
      <c r="E320" s="338">
        <f t="shared" si="111"/>
        <v>1.0000009049727332</v>
      </c>
      <c r="F320" s="339">
        <f t="shared" si="112"/>
        <v>1.3453416300818997E-3</v>
      </c>
      <c r="G320" s="338">
        <f t="shared" si="113"/>
        <v>1</v>
      </c>
      <c r="H320" s="339">
        <f t="shared" si="114"/>
        <v>0</v>
      </c>
      <c r="I320" s="337">
        <f t="shared" si="115"/>
        <v>164879.79688105409</v>
      </c>
      <c r="J320" s="340">
        <f t="shared" si="116"/>
        <v>1.570790261770443</v>
      </c>
      <c r="K320" s="348">
        <f t="shared" si="132"/>
        <v>3.9168019586037195</v>
      </c>
      <c r="L320" s="349">
        <f t="shared" si="133"/>
        <v>1.3126276702203217</v>
      </c>
      <c r="M320" s="337">
        <f t="shared" si="117"/>
        <v>1.0002503615091036</v>
      </c>
      <c r="N320" s="340">
        <f t="shared" si="118"/>
        <v>2.2374507198573926E-2</v>
      </c>
      <c r="O320" s="341">
        <f t="shared" si="119"/>
        <v>1.0001008725655076</v>
      </c>
      <c r="P320" s="342">
        <f t="shared" si="120"/>
        <v>3.3808008709547137E-2</v>
      </c>
      <c r="Q320" s="343">
        <f t="shared" si="121"/>
        <v>-0.60583696464362879</v>
      </c>
      <c r="R320" s="344">
        <f t="shared" si="122"/>
        <v>-38.053329019089695</v>
      </c>
      <c r="S320" s="346">
        <f t="shared" si="123"/>
        <v>141.94667098091031</v>
      </c>
      <c r="U320" s="319">
        <f t="shared" si="129"/>
        <v>22778.5</v>
      </c>
      <c r="V320" s="319">
        <f t="shared" si="130"/>
        <v>518860062.25</v>
      </c>
      <c r="X320" s="345">
        <f t="shared" si="124"/>
        <v>5.2203334512545894</v>
      </c>
      <c r="Y320" s="346">
        <f t="shared" si="125"/>
        <v>-16.073591773511801</v>
      </c>
      <c r="AA320" s="345">
        <f t="shared" si="126"/>
        <v>32.391796597448042</v>
      </c>
      <c r="AB320" s="346">
        <f t="shared" si="127"/>
        <v>-21.979737245577898</v>
      </c>
      <c r="AD320">
        <f t="shared" si="131"/>
        <v>0</v>
      </c>
      <c r="AE320">
        <f t="shared" si="134"/>
        <v>0</v>
      </c>
    </row>
    <row r="321" spans="1:31" x14ac:dyDescent="0.2">
      <c r="A321" s="347">
        <v>22909</v>
      </c>
      <c r="B321" s="364">
        <f t="shared" si="128"/>
        <v>22.908999999999999</v>
      </c>
      <c r="C321" s="337">
        <f t="shared" si="109"/>
        <v>1.065714108417815</v>
      </c>
      <c r="D321" s="338">
        <f t="shared" si="110"/>
        <v>0.35300531093492055</v>
      </c>
      <c r="E321" s="338">
        <f t="shared" si="111"/>
        <v>1.0000009153717664</v>
      </c>
      <c r="F321" s="339">
        <f t="shared" si="112"/>
        <v>1.3530491994590481E-3</v>
      </c>
      <c r="G321" s="338">
        <f t="shared" si="113"/>
        <v>1</v>
      </c>
      <c r="H321" s="339">
        <f t="shared" si="114"/>
        <v>0</v>
      </c>
      <c r="I321" s="337">
        <f t="shared" si="115"/>
        <v>165824.40752232497</v>
      </c>
      <c r="J321" s="340">
        <f t="shared" si="116"/>
        <v>1.5707902963195586</v>
      </c>
      <c r="K321" s="348">
        <f t="shared" si="132"/>
        <v>3.9377828573423646</v>
      </c>
      <c r="L321" s="349">
        <f t="shared" si="133"/>
        <v>1.3140343556377601</v>
      </c>
      <c r="M321" s="337">
        <f t="shared" si="117"/>
        <v>1.0002532380479521</v>
      </c>
      <c r="N321" s="340">
        <f t="shared" si="118"/>
        <v>2.2502649543574799E-2</v>
      </c>
      <c r="O321" s="341">
        <f t="shared" si="119"/>
        <v>1.0001020329196275</v>
      </c>
      <c r="P321" s="342">
        <f t="shared" si="120"/>
        <v>3.4001732719418025E-2</v>
      </c>
      <c r="Q321" s="343">
        <f t="shared" si="121"/>
        <v>-0.61499008337306094</v>
      </c>
      <c r="R321" s="344">
        <f t="shared" si="122"/>
        <v>-38.096684890845239</v>
      </c>
      <c r="S321" s="346">
        <f t="shared" si="123"/>
        <v>141.90331510915476</v>
      </c>
      <c r="U321" s="319">
        <f t="shared" si="129"/>
        <v>22909</v>
      </c>
      <c r="V321" s="319">
        <f t="shared" si="130"/>
        <v>524822281</v>
      </c>
      <c r="X321" s="345">
        <f t="shared" si="124"/>
        <v>5.2170912758319545</v>
      </c>
      <c r="Y321" s="346">
        <f t="shared" si="125"/>
        <v>-16.000338630970244</v>
      </c>
      <c r="AA321" s="345">
        <f t="shared" si="126"/>
        <v>32.385885654141248</v>
      </c>
      <c r="AB321" s="346">
        <f t="shared" si="127"/>
        <v>-22.096346259875006</v>
      </c>
      <c r="AD321">
        <f t="shared" si="131"/>
        <v>0</v>
      </c>
      <c r="AE321">
        <f t="shared" si="134"/>
        <v>0</v>
      </c>
    </row>
    <row r="322" spans="1:31" x14ac:dyDescent="0.2">
      <c r="A322" s="347">
        <v>23042.25</v>
      </c>
      <c r="B322" s="364">
        <f t="shared" si="128"/>
        <v>23.042249999999999</v>
      </c>
      <c r="C322" s="337">
        <f t="shared" si="109"/>
        <v>1.0664568865127964</v>
      </c>
      <c r="D322" s="338">
        <f t="shared" si="110"/>
        <v>0.35489087695193811</v>
      </c>
      <c r="E322" s="338">
        <f t="shared" si="111"/>
        <v>1.0000009260512337</v>
      </c>
      <c r="F322" s="339">
        <f t="shared" si="112"/>
        <v>1.3609191887146584E-3</v>
      </c>
      <c r="G322" s="338">
        <f t="shared" si="113"/>
        <v>1</v>
      </c>
      <c r="H322" s="339">
        <f t="shared" si="114"/>
        <v>0</v>
      </c>
      <c r="I322" s="337">
        <f t="shared" si="115"/>
        <v>166788.92375182206</v>
      </c>
      <c r="J322" s="340">
        <f t="shared" si="116"/>
        <v>1.5707903311929254</v>
      </c>
      <c r="K322" s="348">
        <f t="shared" si="132"/>
        <v>3.9592138361500897</v>
      </c>
      <c r="L322" s="349">
        <f t="shared" si="133"/>
        <v>1.3154552976304916</v>
      </c>
      <c r="M322" s="337">
        <f t="shared" si="117"/>
        <v>1.0002561921508553</v>
      </c>
      <c r="N322" s="340">
        <f t="shared" si="118"/>
        <v>2.2633491443504593E-2</v>
      </c>
      <c r="O322" s="341">
        <f t="shared" si="119"/>
        <v>1.0001032245944719</v>
      </c>
      <c r="P322" s="342">
        <f t="shared" si="120"/>
        <v>3.4199539654426507E-2</v>
      </c>
      <c r="Q322" s="343">
        <f t="shared" si="121"/>
        <v>-0.62430889825253166</v>
      </c>
      <c r="R322" s="344">
        <f t="shared" si="122"/>
        <v>-38.141687158660083</v>
      </c>
      <c r="S322" s="346">
        <f t="shared" si="123"/>
        <v>141.85831284133991</v>
      </c>
      <c r="U322" s="319">
        <f t="shared" si="129"/>
        <v>23042.25</v>
      </c>
      <c r="V322" s="319">
        <f t="shared" si="130"/>
        <v>530945285.0625</v>
      </c>
      <c r="X322" s="345">
        <f t="shared" si="124"/>
        <v>5.2138344734298148</v>
      </c>
      <c r="Y322" s="346">
        <f t="shared" si="125"/>
        <v>-15.926423338515553</v>
      </c>
      <c r="AA322" s="345">
        <f t="shared" si="126"/>
        <v>32.379823641663918</v>
      </c>
      <c r="AB322" s="346">
        <f t="shared" si="127"/>
        <v>-22.215263820144532</v>
      </c>
      <c r="AD322">
        <f t="shared" si="131"/>
        <v>0</v>
      </c>
      <c r="AE322">
        <f t="shared" si="134"/>
        <v>0</v>
      </c>
    </row>
    <row r="323" spans="1:31" x14ac:dyDescent="0.2">
      <c r="A323" s="347">
        <v>23175.5</v>
      </c>
      <c r="B323" s="364">
        <f t="shared" si="128"/>
        <v>23.1755</v>
      </c>
      <c r="C323" s="337">
        <f t="shared" si="109"/>
        <v>1.067203450959237</v>
      </c>
      <c r="D323" s="338">
        <f t="shared" si="110"/>
        <v>0.35677381155223525</v>
      </c>
      <c r="E323" s="338">
        <f t="shared" si="111"/>
        <v>1.0000009367926379</v>
      </c>
      <c r="F323" s="339">
        <f t="shared" si="112"/>
        <v>1.368789177801687E-3</v>
      </c>
      <c r="G323" s="338">
        <f t="shared" si="113"/>
        <v>1</v>
      </c>
      <c r="H323" s="339">
        <f t="shared" si="114"/>
        <v>0</v>
      </c>
      <c r="I323" s="337">
        <f t="shared" si="115"/>
        <v>167753.43998131936</v>
      </c>
      <c r="J323" s="340">
        <f t="shared" si="116"/>
        <v>1.5707903656652762</v>
      </c>
      <c r="K323" s="348">
        <f t="shared" si="132"/>
        <v>3.9806527228272115</v>
      </c>
      <c r="L323" s="349">
        <f t="shared" si="133"/>
        <v>1.3168609366976307</v>
      </c>
      <c r="M323" s="337">
        <f t="shared" si="117"/>
        <v>1.0002591633776461</v>
      </c>
      <c r="N323" s="340">
        <f t="shared" si="118"/>
        <v>2.2764332568353855E-2</v>
      </c>
      <c r="O323" s="341">
        <f t="shared" si="119"/>
        <v>1.0001044232102605</v>
      </c>
      <c r="P323" s="342">
        <f t="shared" si="120"/>
        <v>3.4397347217893365E-2</v>
      </c>
      <c r="Q323" s="343">
        <f t="shared" si="121"/>
        <v>-0.63360129573769031</v>
      </c>
      <c r="R323" s="344">
        <f t="shared" si="122"/>
        <v>-38.187415419086463</v>
      </c>
      <c r="S323" s="346">
        <f t="shared" si="123"/>
        <v>141.81258458091355</v>
      </c>
      <c r="U323" s="319">
        <f t="shared" si="129"/>
        <v>23175.5</v>
      </c>
      <c r="V323" s="319">
        <f t="shared" si="130"/>
        <v>537103800.25</v>
      </c>
      <c r="X323" s="345">
        <f t="shared" si="124"/>
        <v>5.2106307515127401</v>
      </c>
      <c r="Y323" s="346">
        <f t="shared" si="125"/>
        <v>-15.853384771727121</v>
      </c>
      <c r="AA323" s="345">
        <f t="shared" si="126"/>
        <v>32.373734966095832</v>
      </c>
      <c r="AB323" s="346">
        <f t="shared" si="127"/>
        <v>-22.334030647359338</v>
      </c>
      <c r="AD323">
        <f t="shared" si="131"/>
        <v>0</v>
      </c>
      <c r="AE323">
        <f t="shared" si="134"/>
        <v>0</v>
      </c>
    </row>
    <row r="324" spans="1:31" x14ac:dyDescent="0.2">
      <c r="A324" s="347">
        <v>23308.75</v>
      </c>
      <c r="B324" s="364">
        <f t="shared" si="128"/>
        <v>23.30875</v>
      </c>
      <c r="C324" s="337">
        <f t="shared" si="109"/>
        <v>1.0679537938164692</v>
      </c>
      <c r="D324" s="338">
        <f t="shared" si="110"/>
        <v>0.35865410691673794</v>
      </c>
      <c r="E324" s="338">
        <f t="shared" si="111"/>
        <v>1.000000947595979</v>
      </c>
      <c r="F324" s="339">
        <f t="shared" si="112"/>
        <v>1.3766591667191586E-3</v>
      </c>
      <c r="G324" s="338">
        <f t="shared" si="113"/>
        <v>1</v>
      </c>
      <c r="H324" s="339">
        <f t="shared" si="114"/>
        <v>0</v>
      </c>
      <c r="I324" s="337">
        <f t="shared" si="115"/>
        <v>168717.9562108168</v>
      </c>
      <c r="J324" s="340">
        <f t="shared" si="116"/>
        <v>1.570790399743488</v>
      </c>
      <c r="K324" s="348">
        <f t="shared" si="132"/>
        <v>4.002099390288496</v>
      </c>
      <c r="L324" s="349">
        <f t="shared" si="133"/>
        <v>1.3182515132579451</v>
      </c>
      <c r="M324" s="337">
        <f t="shared" si="117"/>
        <v>1.0002621517281718</v>
      </c>
      <c r="N324" s="340">
        <f t="shared" si="118"/>
        <v>2.2895172913649679E-2</v>
      </c>
      <c r="O324" s="341">
        <f t="shared" si="119"/>
        <v>1.0001056287675079</v>
      </c>
      <c r="P324" s="342">
        <f t="shared" si="120"/>
        <v>3.4595155413437474E-2</v>
      </c>
      <c r="Q324" s="343">
        <f t="shared" si="121"/>
        <v>-0.64286830326151634</v>
      </c>
      <c r="R324" s="344">
        <f t="shared" si="122"/>
        <v>-38.233855449488892</v>
      </c>
      <c r="S324" s="346">
        <f t="shared" si="123"/>
        <v>141.76614455051111</v>
      </c>
      <c r="U324" s="319">
        <f t="shared" si="129"/>
        <v>23308.75</v>
      </c>
      <c r="V324" s="319">
        <f t="shared" si="130"/>
        <v>543297826.5625</v>
      </c>
      <c r="X324" s="345">
        <f t="shared" si="124"/>
        <v>5.2074789593031943</v>
      </c>
      <c r="Y324" s="346">
        <f t="shared" si="125"/>
        <v>-15.781209155762021</v>
      </c>
      <c r="AA324" s="345">
        <f t="shared" si="126"/>
        <v>32.36761975078155</v>
      </c>
      <c r="AB324" s="346">
        <f t="shared" si="127"/>
        <v>-22.452646293726886</v>
      </c>
      <c r="AD324">
        <f t="shared" si="131"/>
        <v>0</v>
      </c>
      <c r="AE324">
        <f t="shared" si="134"/>
        <v>0</v>
      </c>
    </row>
    <row r="325" spans="1:31" x14ac:dyDescent="0.2">
      <c r="A325" s="347">
        <v>23442</v>
      </c>
      <c r="B325" s="364">
        <f t="shared" si="128"/>
        <v>23.442</v>
      </c>
      <c r="C325" s="337">
        <f t="shared" si="109"/>
        <v>1.0687079071259942</v>
      </c>
      <c r="D325" s="338">
        <f t="shared" si="110"/>
        <v>0.36053175532292353</v>
      </c>
      <c r="E325" s="338">
        <f t="shared" si="111"/>
        <v>1.0000009584612566</v>
      </c>
      <c r="F325" s="339">
        <f t="shared" si="112"/>
        <v>1.384529155466099E-3</v>
      </c>
      <c r="G325" s="338">
        <f t="shared" si="113"/>
        <v>1</v>
      </c>
      <c r="H325" s="339">
        <f t="shared" si="114"/>
        <v>0</v>
      </c>
      <c r="I325" s="337">
        <f t="shared" si="115"/>
        <v>169682.47244031448</v>
      </c>
      <c r="J325" s="340">
        <f t="shared" si="116"/>
        <v>1.5707904334342824</v>
      </c>
      <c r="K325" s="348">
        <f t="shared" si="132"/>
        <v>4.0235537141126718</v>
      </c>
      <c r="L325" s="349">
        <f t="shared" si="133"/>
        <v>1.319627262838188</v>
      </c>
      <c r="M325" s="337">
        <f t="shared" si="117"/>
        <v>1.0002651572022785</v>
      </c>
      <c r="N325" s="340">
        <f t="shared" si="118"/>
        <v>2.3026012474919297E-2</v>
      </c>
      <c r="O325" s="341">
        <f t="shared" si="119"/>
        <v>1.0001068412667318</v>
      </c>
      <c r="P325" s="342">
        <f t="shared" si="120"/>
        <v>3.4792964244677434E-2</v>
      </c>
      <c r="Q325" s="343">
        <f t="shared" si="121"/>
        <v>-0.65211091752145767</v>
      </c>
      <c r="R325" s="344">
        <f t="shared" si="122"/>
        <v>-38.280993313046707</v>
      </c>
      <c r="S325" s="346">
        <f t="shared" si="123"/>
        <v>141.71900668695329</v>
      </c>
      <c r="U325" s="319">
        <f t="shared" si="129"/>
        <v>23442</v>
      </c>
      <c r="V325" s="319">
        <f t="shared" si="130"/>
        <v>549527364</v>
      </c>
      <c r="X325" s="345">
        <f t="shared" si="124"/>
        <v>5.2043779766378515</v>
      </c>
      <c r="Y325" s="346">
        <f t="shared" si="125"/>
        <v>-15.709882996060122</v>
      </c>
      <c r="AA325" s="345">
        <f t="shared" si="126"/>
        <v>32.361478119186955</v>
      </c>
      <c r="AB325" s="346">
        <f t="shared" si="127"/>
        <v>-22.571110316986598</v>
      </c>
      <c r="AD325">
        <f t="shared" si="131"/>
        <v>0</v>
      </c>
      <c r="AE325">
        <f t="shared" si="134"/>
        <v>0</v>
      </c>
    </row>
    <row r="326" spans="1:31" x14ac:dyDescent="0.2">
      <c r="A326" s="347">
        <v>23578.5</v>
      </c>
      <c r="B326" s="364">
        <f t="shared" si="128"/>
        <v>23.578499999999998</v>
      </c>
      <c r="C326" s="337">
        <f t="shared" si="109"/>
        <v>1.0694843146227186</v>
      </c>
      <c r="D326" s="338">
        <f t="shared" si="110"/>
        <v>0.36245244747503941</v>
      </c>
      <c r="E326" s="338">
        <f t="shared" si="111"/>
        <v>1.0000009696557624</v>
      </c>
      <c r="F326" s="339">
        <f t="shared" si="112"/>
        <v>1.3925910949802458E-3</v>
      </c>
      <c r="G326" s="338">
        <f t="shared" si="113"/>
        <v>1</v>
      </c>
      <c r="H326" s="339">
        <f t="shared" si="114"/>
        <v>0</v>
      </c>
      <c r="I326" s="337">
        <f t="shared" si="115"/>
        <v>170670.51345589766</v>
      </c>
      <c r="J326" s="340">
        <f t="shared" si="116"/>
        <v>1.5707904675519626</v>
      </c>
      <c r="K326" s="348">
        <f t="shared" si="132"/>
        <v>4.0455391255491353</v>
      </c>
      <c r="L326" s="349">
        <f t="shared" si="133"/>
        <v>1.3210214346272171</v>
      </c>
      <c r="M326" s="337">
        <f t="shared" si="117"/>
        <v>1.0002682537356176</v>
      </c>
      <c r="N326" s="340">
        <f t="shared" si="118"/>
        <v>2.316004242738183E-2</v>
      </c>
      <c r="O326" s="341">
        <f t="shared" si="119"/>
        <v>1.000108090537668</v>
      </c>
      <c r="P326" s="342">
        <f t="shared" si="120"/>
        <v>3.4995598344481793E-2</v>
      </c>
      <c r="Q326" s="343">
        <f t="shared" si="121"/>
        <v>-0.66155467900160014</v>
      </c>
      <c r="R326" s="344">
        <f t="shared" si="122"/>
        <v>-38.329990176734178</v>
      </c>
      <c r="S326" s="346">
        <f t="shared" si="123"/>
        <v>141.67000982326581</v>
      </c>
      <c r="U326" s="319">
        <f t="shared" si="129"/>
        <v>23578.5</v>
      </c>
      <c r="V326" s="319">
        <f t="shared" si="130"/>
        <v>555945662.25</v>
      </c>
      <c r="X326" s="345">
        <f t="shared" si="124"/>
        <v>5.2012529040506976</v>
      </c>
      <c r="Y326" s="346">
        <f t="shared" si="125"/>
        <v>-15.637684141953581</v>
      </c>
      <c r="AA326" s="345">
        <f t="shared" si="126"/>
        <v>32.355159430293966</v>
      </c>
      <c r="AB326" s="346">
        <f t="shared" si="127"/>
        <v>-22.692306034780596</v>
      </c>
      <c r="AD326">
        <f t="shared" si="131"/>
        <v>0</v>
      </c>
      <c r="AE326">
        <f t="shared" si="134"/>
        <v>0</v>
      </c>
    </row>
    <row r="327" spans="1:31" x14ac:dyDescent="0.2">
      <c r="A327" s="347">
        <v>23715</v>
      </c>
      <c r="B327" s="364">
        <f t="shared" si="128"/>
        <v>23.715</v>
      </c>
      <c r="C327" s="337">
        <f t="shared" si="109"/>
        <v>1.0702646617767453</v>
      </c>
      <c r="D327" s="338">
        <f t="shared" si="110"/>
        <v>0.36437034587882733</v>
      </c>
      <c r="E327" s="338">
        <f t="shared" si="111"/>
        <v>1.000000980915263</v>
      </c>
      <c r="F327" s="339">
        <f t="shared" si="112"/>
        <v>1.4006530343133703E-3</v>
      </c>
      <c r="G327" s="338">
        <f t="shared" si="113"/>
        <v>1</v>
      </c>
      <c r="H327" s="339">
        <f t="shared" si="114"/>
        <v>0</v>
      </c>
      <c r="I327" s="337">
        <f t="shared" si="115"/>
        <v>171658.55447148104</v>
      </c>
      <c r="J327" s="340">
        <f t="shared" si="116"/>
        <v>1.5707905012768903</v>
      </c>
      <c r="K327" s="348">
        <f t="shared" si="132"/>
        <v>4.0675323153471004</v>
      </c>
      <c r="L327" s="349">
        <f t="shared" si="133"/>
        <v>1.3224005324698107</v>
      </c>
      <c r="M327" s="337">
        <f t="shared" si="117"/>
        <v>1.0002713682376922</v>
      </c>
      <c r="N327" s="340">
        <f t="shared" si="118"/>
        <v>2.3294071547605415E-2</v>
      </c>
      <c r="O327" s="341">
        <f t="shared" si="119"/>
        <v>1.0001093470944529</v>
      </c>
      <c r="P327" s="342">
        <f t="shared" si="120"/>
        <v>3.5198233119056052E-2</v>
      </c>
      <c r="Q327" s="343">
        <f t="shared" si="121"/>
        <v>-0.67097486540126394</v>
      </c>
      <c r="R327" s="344">
        <f t="shared" si="122"/>
        <v>-38.379690612430579</v>
      </c>
      <c r="S327" s="346">
        <f t="shared" si="123"/>
        <v>141.62030938756942</v>
      </c>
      <c r="U327" s="319">
        <f t="shared" si="129"/>
        <v>23715</v>
      </c>
      <c r="V327" s="319">
        <f t="shared" si="130"/>
        <v>562401225</v>
      </c>
      <c r="X327" s="345">
        <f t="shared" si="124"/>
        <v>5.1981788644921609</v>
      </c>
      <c r="Y327" s="346">
        <f t="shared" si="125"/>
        <v>-15.566348891172536</v>
      </c>
      <c r="AA327" s="345">
        <f t="shared" si="126"/>
        <v>32.348813283452834</v>
      </c>
      <c r="AB327" s="346">
        <f t="shared" si="127"/>
        <v>-22.813341721258038</v>
      </c>
      <c r="AD327">
        <f t="shared" si="131"/>
        <v>0</v>
      </c>
      <c r="AE327">
        <f t="shared" si="134"/>
        <v>0</v>
      </c>
    </row>
    <row r="328" spans="1:31" x14ac:dyDescent="0.2">
      <c r="A328" s="347">
        <v>23851.5</v>
      </c>
      <c r="B328" s="364">
        <f t="shared" si="128"/>
        <v>23.851500000000001</v>
      </c>
      <c r="C328" s="337">
        <f t="shared" si="109"/>
        <v>1.0710489399769818</v>
      </c>
      <c r="D328" s="338">
        <f t="shared" si="110"/>
        <v>0.36628544254683204</v>
      </c>
      <c r="E328" s="338">
        <f t="shared" si="111"/>
        <v>1.0000009922397588</v>
      </c>
      <c r="F328" s="339">
        <f t="shared" si="112"/>
        <v>1.408714973464424E-3</v>
      </c>
      <c r="G328" s="338">
        <f t="shared" si="113"/>
        <v>1</v>
      </c>
      <c r="H328" s="339">
        <f t="shared" si="114"/>
        <v>0</v>
      </c>
      <c r="I328" s="337">
        <f t="shared" si="115"/>
        <v>172646.59548706459</v>
      </c>
      <c r="J328" s="340">
        <f t="shared" si="116"/>
        <v>1.5707905346158086</v>
      </c>
      <c r="K328" s="348">
        <f t="shared" si="132"/>
        <v>4.0895331580123093</v>
      </c>
      <c r="L328" s="349">
        <f t="shared" si="133"/>
        <v>1.3237647943615127</v>
      </c>
      <c r="M328" s="337">
        <f t="shared" si="117"/>
        <v>1.0002745007083347</v>
      </c>
      <c r="N328" s="340">
        <f t="shared" si="118"/>
        <v>2.3428099830782506E-2</v>
      </c>
      <c r="O328" s="341">
        <f t="shared" si="119"/>
        <v>1.0001106109376523</v>
      </c>
      <c r="P328" s="342">
        <f t="shared" si="120"/>
        <v>3.5400868572289211E-2</v>
      </c>
      <c r="Q328" s="343">
        <f t="shared" si="121"/>
        <v>-0.68037245404655777</v>
      </c>
      <c r="R328" s="344">
        <f t="shared" si="122"/>
        <v>-38.430080526682012</v>
      </c>
      <c r="S328" s="346">
        <f t="shared" si="123"/>
        <v>141.56991947331798</v>
      </c>
      <c r="U328" s="319">
        <f t="shared" si="129"/>
        <v>23851.5</v>
      </c>
      <c r="V328" s="319">
        <f t="shared" si="130"/>
        <v>568894052.25</v>
      </c>
      <c r="X328" s="345">
        <f t="shared" si="124"/>
        <v>5.1951547475615403</v>
      </c>
      <c r="Y328" s="346">
        <f t="shared" si="125"/>
        <v>-15.495863607687685</v>
      </c>
      <c r="AA328" s="345">
        <f t="shared" si="126"/>
        <v>32.342439811738167</v>
      </c>
      <c r="AB328" s="346">
        <f t="shared" si="127"/>
        <v>-22.934216918994327</v>
      </c>
      <c r="AD328">
        <f t="shared" si="131"/>
        <v>0</v>
      </c>
      <c r="AE328">
        <f t="shared" si="134"/>
        <v>0</v>
      </c>
    </row>
    <row r="329" spans="1:31" x14ac:dyDescent="0.2">
      <c r="A329" s="347">
        <v>23988</v>
      </c>
      <c r="B329" s="364">
        <f t="shared" si="128"/>
        <v>23.988</v>
      </c>
      <c r="C329" s="337">
        <f t="shared" si="109"/>
        <v>1.0718371405942244</v>
      </c>
      <c r="D329" s="338">
        <f t="shared" si="110"/>
        <v>0.36819772959712221</v>
      </c>
      <c r="E329" s="338">
        <f t="shared" si="111"/>
        <v>1.0000010036292493</v>
      </c>
      <c r="F329" s="339">
        <f t="shared" si="112"/>
        <v>1.4167769124323593E-3</v>
      </c>
      <c r="G329" s="338">
        <f t="shared" si="113"/>
        <v>1</v>
      </c>
      <c r="H329" s="339">
        <f t="shared" si="114"/>
        <v>0</v>
      </c>
      <c r="I329" s="337">
        <f t="shared" si="115"/>
        <v>173634.63650264835</v>
      </c>
      <c r="J329" s="340">
        <f t="shared" si="116"/>
        <v>1.5707905675753069</v>
      </c>
      <c r="K329" s="348">
        <f t="shared" si="132"/>
        <v>4.1115415306933754</v>
      </c>
      <c r="L329" s="349">
        <f t="shared" si="133"/>
        <v>1.3251144534256412</v>
      </c>
      <c r="M329" s="337">
        <f t="shared" si="117"/>
        <v>1.0002776511473761</v>
      </c>
      <c r="N329" s="340">
        <f t="shared" si="118"/>
        <v>2.3562127272105739E-2</v>
      </c>
      <c r="O329" s="341">
        <f t="shared" si="119"/>
        <v>1.0001118820678363</v>
      </c>
      <c r="P329" s="342">
        <f t="shared" si="120"/>
        <v>3.5603504708069993E-2</v>
      </c>
      <c r="Q329" s="343">
        <f t="shared" si="121"/>
        <v>-0.68974839250721676</v>
      </c>
      <c r="R329" s="344">
        <f t="shared" si="122"/>
        <v>-38.481146111229812</v>
      </c>
      <c r="S329" s="346">
        <f t="shared" si="123"/>
        <v>141.5188538887702</v>
      </c>
      <c r="U329" s="319">
        <f t="shared" si="129"/>
        <v>23988</v>
      </c>
      <c r="V329" s="319">
        <f t="shared" si="130"/>
        <v>575424144</v>
      </c>
      <c r="X329" s="345">
        <f t="shared" si="124"/>
        <v>5.1921794725102268</v>
      </c>
      <c r="Y329" s="346">
        <f t="shared" si="125"/>
        <v>-15.426214934618871</v>
      </c>
      <c r="AA329" s="345">
        <f t="shared" si="126"/>
        <v>32.336039148328823</v>
      </c>
      <c r="AB329" s="346">
        <f t="shared" si="127"/>
        <v>-23.054931176610935</v>
      </c>
      <c r="AD329">
        <f t="shared" si="131"/>
        <v>0</v>
      </c>
      <c r="AE329">
        <f t="shared" si="134"/>
        <v>0</v>
      </c>
    </row>
    <row r="330" spans="1:31" x14ac:dyDescent="0.2">
      <c r="A330" s="347">
        <v>24127.75</v>
      </c>
      <c r="B330" s="364">
        <f t="shared" si="128"/>
        <v>24.127749999999999</v>
      </c>
      <c r="C330" s="337">
        <f t="shared" si="109"/>
        <v>1.0726481624785444</v>
      </c>
      <c r="D330" s="338">
        <f t="shared" si="110"/>
        <v>0.37015262841402941</v>
      </c>
      <c r="E330" s="338">
        <f t="shared" si="111"/>
        <v>1.0000010153572527</v>
      </c>
      <c r="F330" s="339">
        <f t="shared" si="112"/>
        <v>1.4250308021372976E-3</v>
      </c>
      <c r="G330" s="338">
        <f t="shared" si="113"/>
        <v>1</v>
      </c>
      <c r="H330" s="339">
        <f t="shared" si="114"/>
        <v>0</v>
      </c>
      <c r="I330" s="337">
        <f t="shared" si="115"/>
        <v>174646.20230431762</v>
      </c>
      <c r="J330" s="340">
        <f t="shared" si="116"/>
        <v>1.5707906009332013</v>
      </c>
      <c r="K330" s="348">
        <f t="shared" si="132"/>
        <v>4.1340815877476116</v>
      </c>
      <c r="L330" s="349">
        <f t="shared" si="133"/>
        <v>1.3264813571749146</v>
      </c>
      <c r="M330" s="337">
        <f t="shared" si="117"/>
        <v>1.0002808952119142</v>
      </c>
      <c r="N330" s="340">
        <f t="shared" si="118"/>
        <v>2.3699344965805835E-2</v>
      </c>
      <c r="O330" s="341">
        <f t="shared" si="119"/>
        <v>1.000113191012922</v>
      </c>
      <c r="P330" s="342">
        <f t="shared" si="120"/>
        <v>3.5810966224928464E-2</v>
      </c>
      <c r="Q330" s="343">
        <f t="shared" si="121"/>
        <v>-0.69932609726504447</v>
      </c>
      <c r="R330" s="344">
        <f t="shared" si="122"/>
        <v>-38.534113409313051</v>
      </c>
      <c r="S330" s="346">
        <f t="shared" si="123"/>
        <v>141.46588659068695</v>
      </c>
      <c r="U330" s="319">
        <f t="shared" si="129"/>
        <v>24127.75</v>
      </c>
      <c r="V330" s="319">
        <f t="shared" si="130"/>
        <v>582148320.0625</v>
      </c>
      <c r="X330" s="345">
        <f t="shared" si="124"/>
        <v>5.189182859273731</v>
      </c>
      <c r="Y330" s="346">
        <f t="shared" si="125"/>
        <v>-15.355761024694486</v>
      </c>
      <c r="AA330" s="345">
        <f t="shared" si="126"/>
        <v>32.329458056807489</v>
      </c>
      <c r="AB330" s="346">
        <f t="shared" si="127"/>
        <v>-23.178352384618577</v>
      </c>
      <c r="AD330">
        <f t="shared" si="131"/>
        <v>0</v>
      </c>
      <c r="AE330">
        <f t="shared" si="134"/>
        <v>0</v>
      </c>
    </row>
    <row r="331" spans="1:31" x14ac:dyDescent="0.2">
      <c r="A331" s="347">
        <v>24267.5</v>
      </c>
      <c r="B331" s="364">
        <f t="shared" si="128"/>
        <v>24.267499999999998</v>
      </c>
      <c r="C331" s="337">
        <f t="shared" si="109"/>
        <v>1.0734632774233275</v>
      </c>
      <c r="D331" s="338">
        <f t="shared" si="110"/>
        <v>0.37210456584690937</v>
      </c>
      <c r="E331" s="338">
        <f t="shared" si="111"/>
        <v>1.0000010271533828</v>
      </c>
      <c r="F331" s="339">
        <f t="shared" si="112"/>
        <v>1.4332846916480706E-3</v>
      </c>
      <c r="G331" s="338">
        <f t="shared" si="113"/>
        <v>1</v>
      </c>
      <c r="H331" s="339">
        <f t="shared" si="114"/>
        <v>0</v>
      </c>
      <c r="I331" s="337">
        <f t="shared" si="115"/>
        <v>175657.76810598708</v>
      </c>
      <c r="J331" s="340">
        <f t="shared" si="116"/>
        <v>1.5707906339068975</v>
      </c>
      <c r="K331" s="348">
        <f t="shared" si="132"/>
        <v>4.1566292852464759</v>
      </c>
      <c r="L331" s="349">
        <f t="shared" si="133"/>
        <v>1.3278334338481421</v>
      </c>
      <c r="M331" s="337">
        <f t="shared" si="117"/>
        <v>1.0002841581103143</v>
      </c>
      <c r="N331" s="340">
        <f t="shared" si="118"/>
        <v>2.3836561766889124E-2</v>
      </c>
      <c r="O331" s="341">
        <f t="shared" si="119"/>
        <v>1.0001145075973403</v>
      </c>
      <c r="P331" s="342">
        <f t="shared" si="120"/>
        <v>3.6018428465472027E-2</v>
      </c>
      <c r="Q331" s="343">
        <f t="shared" si="121"/>
        <v>-0.70888302718070362</v>
      </c>
      <c r="R331" s="344">
        <f t="shared" si="122"/>
        <v>-38.587760529789875</v>
      </c>
      <c r="S331" s="346">
        <f t="shared" si="123"/>
        <v>141.41223947021012</v>
      </c>
      <c r="U331" s="319">
        <f t="shared" si="129"/>
        <v>24267.5</v>
      </c>
      <c r="V331" s="319">
        <f t="shared" si="130"/>
        <v>588911556.25</v>
      </c>
      <c r="X331" s="345">
        <f t="shared" si="124"/>
        <v>5.1862352400118548</v>
      </c>
      <c r="Y331" s="346">
        <f t="shared" si="125"/>
        <v>-15.286156570494914</v>
      </c>
      <c r="AA331" s="345">
        <f t="shared" si="126"/>
        <v>32.322848746153703</v>
      </c>
      <c r="AB331" s="346">
        <f t="shared" si="127"/>
        <v>-23.301603959294976</v>
      </c>
      <c r="AD331">
        <f t="shared" si="131"/>
        <v>0</v>
      </c>
      <c r="AE331">
        <f t="shared" si="134"/>
        <v>0</v>
      </c>
    </row>
    <row r="332" spans="1:31" x14ac:dyDescent="0.2">
      <c r="A332" s="347">
        <v>24407.25</v>
      </c>
      <c r="B332" s="364">
        <f t="shared" si="128"/>
        <v>24.407250000000001</v>
      </c>
      <c r="C332" s="337">
        <f t="shared" si="109"/>
        <v>1.0742824761117094</v>
      </c>
      <c r="D332" s="338">
        <f t="shared" si="110"/>
        <v>0.37405353377961514</v>
      </c>
      <c r="E332" s="338">
        <f t="shared" si="111"/>
        <v>1.0000010390176399</v>
      </c>
      <c r="F332" s="339">
        <f t="shared" si="112"/>
        <v>1.4415385809635535E-3</v>
      </c>
      <c r="G332" s="338">
        <f t="shared" si="113"/>
        <v>1</v>
      </c>
      <c r="H332" s="339">
        <f t="shared" si="114"/>
        <v>0</v>
      </c>
      <c r="I332" s="337">
        <f t="shared" si="115"/>
        <v>176669.33390765675</v>
      </c>
      <c r="J332" s="340">
        <f t="shared" si="116"/>
        <v>1.5707906665029949</v>
      </c>
      <c r="K332" s="348">
        <f t="shared" si="132"/>
        <v>4.179184499523906</v>
      </c>
      <c r="L332" s="349">
        <f t="shared" si="133"/>
        <v>1.3291709185282485</v>
      </c>
      <c r="M332" s="337">
        <f t="shared" si="117"/>
        <v>1.000287439842392</v>
      </c>
      <c r="N332" s="340">
        <f t="shared" si="118"/>
        <v>2.3973777670197201E-2</v>
      </c>
      <c r="O332" s="341">
        <f t="shared" si="119"/>
        <v>1.0001158318217138</v>
      </c>
      <c r="P332" s="342">
        <f t="shared" si="120"/>
        <v>3.6225891433872844E-2</v>
      </c>
      <c r="Q332" s="343">
        <f t="shared" si="121"/>
        <v>-0.71842010824829106</v>
      </c>
      <c r="R332" s="344">
        <f t="shared" si="122"/>
        <v>-38.642073538701531</v>
      </c>
      <c r="S332" s="346">
        <f t="shared" si="123"/>
        <v>141.35792646129846</v>
      </c>
      <c r="U332" s="319">
        <f t="shared" si="129"/>
        <v>24407.25</v>
      </c>
      <c r="V332" s="319">
        <f t="shared" si="130"/>
        <v>595713852.5625</v>
      </c>
      <c r="X332" s="345">
        <f t="shared" si="124"/>
        <v>5.1833355455186956</v>
      </c>
      <c r="Y332" s="346">
        <f t="shared" si="125"/>
        <v>-15.217388102843261</v>
      </c>
      <c r="AA332" s="345">
        <f t="shared" si="126"/>
        <v>32.31621135957927</v>
      </c>
      <c r="AB332" s="346">
        <f t="shared" si="127"/>
        <v>-23.424685435858269</v>
      </c>
      <c r="AD332">
        <f t="shared" si="131"/>
        <v>0</v>
      </c>
      <c r="AE332">
        <f t="shared" si="134"/>
        <v>0</v>
      </c>
    </row>
    <row r="333" spans="1:31" x14ac:dyDescent="0.2">
      <c r="A333" s="347">
        <v>24547</v>
      </c>
      <c r="B333" s="364">
        <f t="shared" si="128"/>
        <v>24.547000000000001</v>
      </c>
      <c r="C333" s="337">
        <f t="shared" ref="C333:C396" si="135">SQRT(1+(A333/pole1)^2)</f>
        <v>1.0751057492086158</v>
      </c>
      <c r="D333" s="338">
        <f t="shared" ref="D333:D396" si="136">ATAN(A333/pole1)</f>
        <v>0.37599952421091137</v>
      </c>
      <c r="E333" s="338">
        <f t="shared" ref="E333:E396" si="137">SQRT(1+(A333/Zero1)^2)</f>
        <v>1.0000010509500235</v>
      </c>
      <c r="F333" s="339">
        <f t="shared" ref="F333:F396" si="138">ATAN(A333/Zero1)</f>
        <v>1.4497924700826218E-3</v>
      </c>
      <c r="G333" s="338">
        <f t="shared" ref="G333:G396" si="139">IF(VIN_nom&gt;Vout, 1, SQRT(1+(A333/z_RHP)^2))</f>
        <v>1</v>
      </c>
      <c r="H333" s="339">
        <f t="shared" ref="H333:H396" si="140">IF(VIN_nom&gt;Vout, 0, -ATAN(A333/z_RHP))</f>
        <v>0</v>
      </c>
      <c r="I333" s="337">
        <f t="shared" ref="I333:I396" si="141">SQRT(1+(A333/Pole2)^2)</f>
        <v>177680.89970932659</v>
      </c>
      <c r="J333" s="340">
        <f t="shared" ref="J333:J396" si="142">ATAN(A333/Pole2)</f>
        <v>1.5707906987279427</v>
      </c>
      <c r="K333" s="348">
        <f t="shared" si="132"/>
        <v>4.2017471095284371</v>
      </c>
      <c r="L333" s="349">
        <f t="shared" si="133"/>
        <v>1.3304940414601087</v>
      </c>
      <c r="M333" s="337">
        <f t="shared" ref="M333:M396" si="143">SQRT(1+(A333/pole4)^2)</f>
        <v>1.0002907404079622</v>
      </c>
      <c r="N333" s="340">
        <f t="shared" ref="N333:N396" si="144">ATAN(A333/pole4)</f>
        <v>2.4110992670571877E-2</v>
      </c>
      <c r="O333" s="341">
        <f t="shared" ref="O333:O396" si="145">SQRT((1-(V333/pterm2))^2+(A333/pterm1)^2)</f>
        <v>1.0001171636866673</v>
      </c>
      <c r="P333" s="342">
        <f t="shared" ref="P333:P396" si="146">IF((ATAN((A333/pterm1)/(1-A333^2/pterm2))&gt;0),ATAN((A333/pterm1)/(1-A333^2/pterm2)),PI()+ATAN((A333/pterm1)/(1-A333^2/pterm2)))</f>
        <v>3.6433355134302729E-2</v>
      </c>
      <c r="Q333" s="343">
        <f t="shared" ref="Q333:Q396" si="147">20*LOG10(((E333*K333*G333)/(C333*I333*O333*M333))*Adc)</f>
        <v>-0.72793823773886313</v>
      </c>
      <c r="R333" s="344">
        <f t="shared" ref="R333:R396" si="148">((F333+L333+H333)-(D333+J333+P333+N333))*radconv</f>
        <v>-38.697038785864464</v>
      </c>
      <c r="S333" s="346">
        <f t="shared" ref="S333:S396" si="149">IF(R333&gt;0,R333,R333+180)</f>
        <v>141.30296121413554</v>
      </c>
      <c r="U333" s="319">
        <f t="shared" si="129"/>
        <v>24547</v>
      </c>
      <c r="V333" s="319">
        <f t="shared" si="130"/>
        <v>602555209</v>
      </c>
      <c r="X333" s="345">
        <f t="shared" ref="X333:X396" si="150">20*LOG10((K333/(I333*M333))*AEA)</f>
        <v>5.1804827352290017</v>
      </c>
      <c r="Y333" s="346">
        <f t="shared" ref="Y333:Y396" si="151">(L333-(J333+N333))*radconv</f>
        <v>-15.149442429753915</v>
      </c>
      <c r="AA333" s="345">
        <f t="shared" ref="AA333:AA396" si="152">20*LOG10((E333*G333/(C333*O333))*Acs*Am)</f>
        <v>32.309546040378393</v>
      </c>
      <c r="AB333" s="346">
        <f t="shared" ref="AB333:AB396" si="153">(F333+H333-(D333+P333))*radconv</f>
        <v>-23.547596356110539</v>
      </c>
      <c r="AD333">
        <f t="shared" si="131"/>
        <v>0</v>
      </c>
      <c r="AE333">
        <f t="shared" si="134"/>
        <v>0</v>
      </c>
    </row>
    <row r="334" spans="1:31" x14ac:dyDescent="0.2">
      <c r="A334" s="347">
        <v>24690</v>
      </c>
      <c r="B334" s="364">
        <f t="shared" ref="B334:B397" si="154">A334/1000</f>
        <v>24.69</v>
      </c>
      <c r="C334" s="337">
        <f t="shared" si="135"/>
        <v>1.0759523760755274</v>
      </c>
      <c r="D334" s="338">
        <f t="shared" si="136"/>
        <v>0.37798767983428716</v>
      </c>
      <c r="E334" s="338">
        <f t="shared" si="137"/>
        <v>1.0000010632304261</v>
      </c>
      <c r="F334" s="339">
        <f t="shared" si="138"/>
        <v>1.4582383099069436E-3</v>
      </c>
      <c r="G334" s="338">
        <f t="shared" si="139"/>
        <v>1</v>
      </c>
      <c r="H334" s="339">
        <f t="shared" si="140"/>
        <v>0</v>
      </c>
      <c r="I334" s="337">
        <f t="shared" si="141"/>
        <v>178715.99029708197</v>
      </c>
      <c r="J334" s="340">
        <f t="shared" si="142"/>
        <v>1.5707907313246852</v>
      </c>
      <c r="K334" s="348">
        <f t="shared" si="132"/>
        <v>4.2248419635047778</v>
      </c>
      <c r="L334" s="349">
        <f t="shared" si="133"/>
        <v>1.3318333033073193</v>
      </c>
      <c r="M334" s="337">
        <f t="shared" si="143"/>
        <v>1.0002941372262442</v>
      </c>
      <c r="N334" s="340">
        <f t="shared" si="144"/>
        <v>2.4251397777410939E-2</v>
      </c>
      <c r="O334" s="341">
        <f t="shared" si="145"/>
        <v>1.0001185344350585</v>
      </c>
      <c r="P334" s="342">
        <f t="shared" si="146"/>
        <v>3.6645644334066446E-2</v>
      </c>
      <c r="Q334" s="343">
        <f t="shared" si="147"/>
        <v>-0.73765900811568752</v>
      </c>
      <c r="R334" s="344">
        <f t="shared" si="148"/>
        <v>-38.753943512562081</v>
      </c>
      <c r="S334" s="346">
        <f t="shared" si="149"/>
        <v>141.24605648743793</v>
      </c>
      <c r="U334" s="319">
        <f t="shared" ref="U334:U397" si="155">IF(Q334&lt;0,A334,1000000000)</f>
        <v>24690</v>
      </c>
      <c r="V334" s="319">
        <f t="shared" ref="V334:V397" si="156">A334^2</f>
        <v>609596100</v>
      </c>
      <c r="X334" s="345">
        <f t="shared" si="150"/>
        <v>5.1776110564907265</v>
      </c>
      <c r="Y334" s="346">
        <f t="shared" si="151"/>
        <v>-15.080754865867105</v>
      </c>
      <c r="AA334" s="345">
        <f t="shared" si="152"/>
        <v>32.30269694873985</v>
      </c>
      <c r="AB334" s="346">
        <f t="shared" si="153"/>
        <v>-23.673188646694982</v>
      </c>
      <c r="AD334">
        <f t="shared" ref="AD334:AD397" si="157">SUM((Q335&lt;0)*(Q334&gt;0))*A334</f>
        <v>0</v>
      </c>
      <c r="AE334">
        <f t="shared" si="134"/>
        <v>0</v>
      </c>
    </row>
    <row r="335" spans="1:31" x14ac:dyDescent="0.2">
      <c r="A335" s="347">
        <v>24833</v>
      </c>
      <c r="B335" s="364">
        <f t="shared" si="154"/>
        <v>24.832999999999998</v>
      </c>
      <c r="C335" s="337">
        <f t="shared" si="135"/>
        <v>1.0768032492294082</v>
      </c>
      <c r="D335" s="338">
        <f t="shared" si="136"/>
        <v>0.37997270127446786</v>
      </c>
      <c r="E335" s="338">
        <f t="shared" si="137"/>
        <v>1.0000010755821613</v>
      </c>
      <c r="F335" s="339">
        <f t="shared" si="138"/>
        <v>1.4666841495232263E-3</v>
      </c>
      <c r="G335" s="338">
        <f t="shared" si="139"/>
        <v>1</v>
      </c>
      <c r="H335" s="339">
        <f t="shared" si="140"/>
        <v>0</v>
      </c>
      <c r="I335" s="337">
        <f t="shared" si="141"/>
        <v>179751.08088483752</v>
      </c>
      <c r="J335" s="340">
        <f t="shared" si="142"/>
        <v>1.5707907635460132</v>
      </c>
      <c r="K335" s="348">
        <f t="shared" si="132"/>
        <v>4.2479443128476522</v>
      </c>
      <c r="L335" s="349">
        <f t="shared" si="133"/>
        <v>1.3331580004183456</v>
      </c>
      <c r="M335" s="337">
        <f t="shared" si="143"/>
        <v>1.0002975537637844</v>
      </c>
      <c r="N335" s="340">
        <f t="shared" si="144"/>
        <v>2.4391801927904608E-2</v>
      </c>
      <c r="O335" s="341">
        <f t="shared" si="145"/>
        <v>1.0001199131848741</v>
      </c>
      <c r="P335" s="342">
        <f t="shared" si="146"/>
        <v>3.6857934309139716E-2</v>
      </c>
      <c r="Q335" s="343">
        <f t="shared" si="147"/>
        <v>-0.74736174783198583</v>
      </c>
      <c r="R335" s="344">
        <f t="shared" si="148"/>
        <v>-38.811503129833895</v>
      </c>
      <c r="S335" s="346">
        <f t="shared" si="149"/>
        <v>141.18849687016609</v>
      </c>
      <c r="U335" s="319">
        <f t="shared" si="155"/>
        <v>24833</v>
      </c>
      <c r="V335" s="319">
        <f t="shared" si="156"/>
        <v>616677889</v>
      </c>
      <c r="X335" s="345">
        <f t="shared" si="150"/>
        <v>5.1747863515461976</v>
      </c>
      <c r="Y335" s="346">
        <f t="shared" si="151"/>
        <v>-15.012901723590097</v>
      </c>
      <c r="AA335" s="345">
        <f t="shared" si="152"/>
        <v>32.295818913968077</v>
      </c>
      <c r="AB335" s="346">
        <f t="shared" si="153"/>
        <v>-23.798601406243794</v>
      </c>
      <c r="AD335">
        <f t="shared" si="157"/>
        <v>0</v>
      </c>
      <c r="AE335">
        <f t="shared" si="134"/>
        <v>0</v>
      </c>
    </row>
    <row r="336" spans="1:31" x14ac:dyDescent="0.2">
      <c r="A336" s="347">
        <v>24976</v>
      </c>
      <c r="B336" s="364">
        <f t="shared" si="154"/>
        <v>24.975999999999999</v>
      </c>
      <c r="C336" s="337">
        <f t="shared" si="135"/>
        <v>1.0776583586121959</v>
      </c>
      <c r="D336" s="338">
        <f t="shared" si="136"/>
        <v>0.38195458033068042</v>
      </c>
      <c r="E336" s="338">
        <f t="shared" si="137"/>
        <v>1.0000010880052286</v>
      </c>
      <c r="F336" s="339">
        <f t="shared" si="138"/>
        <v>1.4751299889302651E-3</v>
      </c>
      <c r="G336" s="338">
        <f t="shared" si="139"/>
        <v>1</v>
      </c>
      <c r="H336" s="339">
        <f t="shared" si="140"/>
        <v>0</v>
      </c>
      <c r="I336" s="337">
        <f t="shared" si="141"/>
        <v>180786.17147259327</v>
      </c>
      <c r="J336" s="340">
        <f t="shared" si="142"/>
        <v>1.5707907953983753</v>
      </c>
      <c r="K336" s="348">
        <f t="shared" si="132"/>
        <v>4.2710540359286</v>
      </c>
      <c r="L336" s="349">
        <f t="shared" si="133"/>
        <v>1.3344683645254931</v>
      </c>
      <c r="M336" s="337">
        <f t="shared" si="143"/>
        <v>1.000300990020381</v>
      </c>
      <c r="N336" s="340">
        <f t="shared" si="144"/>
        <v>2.4532205116527043E-2</v>
      </c>
      <c r="O336" s="341">
        <f t="shared" si="145"/>
        <v>1.0001212999367961</v>
      </c>
      <c r="P336" s="342">
        <f t="shared" si="146"/>
        <v>3.7070225063991137E-2</v>
      </c>
      <c r="Q336" s="343">
        <f t="shared" si="147"/>
        <v>-0.75704733069349728</v>
      </c>
      <c r="R336" s="344">
        <f t="shared" si="148"/>
        <v>-38.869703890836085</v>
      </c>
      <c r="S336" s="346">
        <f t="shared" si="149"/>
        <v>141.13029610916391</v>
      </c>
      <c r="U336" s="319">
        <f t="shared" si="155"/>
        <v>24976</v>
      </c>
      <c r="V336" s="319">
        <f t="shared" si="156"/>
        <v>623800576</v>
      </c>
      <c r="X336" s="345">
        <f t="shared" si="150"/>
        <v>5.1720075928483791</v>
      </c>
      <c r="Y336" s="346">
        <f t="shared" si="151"/>
        <v>-14.945869725692688</v>
      </c>
      <c r="AA336" s="345">
        <f t="shared" si="152"/>
        <v>32.288912089804384</v>
      </c>
      <c r="AB336" s="346">
        <f t="shared" si="153"/>
        <v>-23.923834165143411</v>
      </c>
      <c r="AD336">
        <f t="shared" si="157"/>
        <v>0</v>
      </c>
      <c r="AE336">
        <f t="shared" si="134"/>
        <v>0</v>
      </c>
    </row>
    <row r="337" spans="1:31" x14ac:dyDescent="0.2">
      <c r="A337" s="347">
        <v>25119</v>
      </c>
      <c r="B337" s="364">
        <f t="shared" si="154"/>
        <v>25.119</v>
      </c>
      <c r="C337" s="337">
        <f t="shared" si="135"/>
        <v>1.0785176941477301</v>
      </c>
      <c r="D337" s="338">
        <f t="shared" si="136"/>
        <v>0.38393330892683736</v>
      </c>
      <c r="E337" s="338">
        <f t="shared" si="137"/>
        <v>1.0000011004996281</v>
      </c>
      <c r="F337" s="339">
        <f t="shared" si="138"/>
        <v>1.4835758281268553E-3</v>
      </c>
      <c r="G337" s="338">
        <f t="shared" si="139"/>
        <v>1</v>
      </c>
      <c r="H337" s="339">
        <f t="shared" si="140"/>
        <v>0</v>
      </c>
      <c r="I337" s="337">
        <f t="shared" si="141"/>
        <v>181821.26206034923</v>
      </c>
      <c r="J337" s="340">
        <f t="shared" si="142"/>
        <v>1.5707908268880724</v>
      </c>
      <c r="K337" s="348">
        <f t="shared" si="132"/>
        <v>4.2941710136990032</v>
      </c>
      <c r="L337" s="349">
        <f t="shared" si="133"/>
        <v>1.3357646225703748</v>
      </c>
      <c r="M337" s="337">
        <f t="shared" si="143"/>
        <v>1.0003044459958308</v>
      </c>
      <c r="N337" s="340">
        <f t="shared" si="144"/>
        <v>2.4672607337752638E-2</v>
      </c>
      <c r="O337" s="341">
        <f t="shared" si="145"/>
        <v>1.0001226946915096</v>
      </c>
      <c r="P337" s="342">
        <f t="shared" si="146"/>
        <v>3.7282516603088921E-2</v>
      </c>
      <c r="Q337" s="343">
        <f t="shared" si="147"/>
        <v>-0.76671660285841514</v>
      </c>
      <c r="R337" s="344">
        <f t="shared" si="148"/>
        <v>-38.928532330346826</v>
      </c>
      <c r="S337" s="346">
        <f t="shared" si="149"/>
        <v>141.07146766965317</v>
      </c>
      <c r="U337" s="319">
        <f t="shared" si="155"/>
        <v>25119</v>
      </c>
      <c r="V337" s="319">
        <f t="shared" si="156"/>
        <v>630964161</v>
      </c>
      <c r="X337" s="345">
        <f t="shared" si="150"/>
        <v>5.1692737804426168</v>
      </c>
      <c r="Y337" s="346">
        <f t="shared" si="151"/>
        <v>-14.879645869422639</v>
      </c>
      <c r="AA337" s="345">
        <f t="shared" si="152"/>
        <v>32.281976630045229</v>
      </c>
      <c r="AB337" s="346">
        <f t="shared" si="153"/>
        <v>-24.048886460924169</v>
      </c>
      <c r="AD337">
        <f t="shared" si="157"/>
        <v>0</v>
      </c>
      <c r="AE337">
        <f t="shared" si="134"/>
        <v>0</v>
      </c>
    </row>
    <row r="338" spans="1:31" x14ac:dyDescent="0.2">
      <c r="A338" s="347">
        <v>25265.25</v>
      </c>
      <c r="B338" s="364">
        <f t="shared" si="154"/>
        <v>25.265250000000002</v>
      </c>
      <c r="C338" s="337">
        <f t="shared" si="135"/>
        <v>1.079400920834243</v>
      </c>
      <c r="D338" s="338">
        <f t="shared" si="136"/>
        <v>0.38595374166523488</v>
      </c>
      <c r="E338" s="338">
        <f t="shared" si="137"/>
        <v>1.0000011133517739</v>
      </c>
      <c r="F338" s="339">
        <f t="shared" si="138"/>
        <v>1.492213617995344E-3</v>
      </c>
      <c r="G338" s="338">
        <f t="shared" si="139"/>
        <v>1</v>
      </c>
      <c r="H338" s="339">
        <f t="shared" si="140"/>
        <v>0</v>
      </c>
      <c r="I338" s="337">
        <f t="shared" si="141"/>
        <v>182879.87743419068</v>
      </c>
      <c r="J338" s="340">
        <f t="shared" si="142"/>
        <v>1.5707908587247401</v>
      </c>
      <c r="K338" s="348">
        <f t="shared" si="132"/>
        <v>4.3178207597725464</v>
      </c>
      <c r="L338" s="349">
        <f t="shared" si="133"/>
        <v>1.3370759820523652</v>
      </c>
      <c r="M338" s="337">
        <f t="shared" si="143"/>
        <v>1.0003080009121434</v>
      </c>
      <c r="N338" s="340">
        <f t="shared" si="144"/>
        <v>2.4816199512166941E-2</v>
      </c>
      <c r="O338" s="341">
        <f t="shared" si="145"/>
        <v>1.0001241294235936</v>
      </c>
      <c r="P338" s="342">
        <f t="shared" si="146"/>
        <v>3.7499633765734348E-2</v>
      </c>
      <c r="Q338" s="343">
        <f t="shared" si="147"/>
        <v>-0.77658961406110594</v>
      </c>
      <c r="R338" s="344">
        <f t="shared" si="148"/>
        <v>-38.989333273221412</v>
      </c>
      <c r="S338" s="346">
        <f t="shared" si="149"/>
        <v>141.0106667267786</v>
      </c>
      <c r="U338" s="319">
        <f t="shared" si="155"/>
        <v>25265.25</v>
      </c>
      <c r="V338" s="319">
        <f t="shared" si="156"/>
        <v>638332857.5625</v>
      </c>
      <c r="X338" s="345">
        <f t="shared" si="150"/>
        <v>5.1665233119560146</v>
      </c>
      <c r="Y338" s="346">
        <f t="shared" si="151"/>
        <v>-14.812739555275419</v>
      </c>
      <c r="AA338" s="345">
        <f t="shared" si="152"/>
        <v>32.274854087329139</v>
      </c>
      <c r="AB338" s="346">
        <f t="shared" si="153"/>
        <v>-24.176593717945988</v>
      </c>
      <c r="AD338">
        <f t="shared" si="157"/>
        <v>0</v>
      </c>
      <c r="AE338">
        <f t="shared" si="134"/>
        <v>0</v>
      </c>
    </row>
    <row r="339" spans="1:31" x14ac:dyDescent="0.2">
      <c r="A339" s="347">
        <v>25411.5</v>
      </c>
      <c r="B339" s="364">
        <f t="shared" si="154"/>
        <v>25.4115</v>
      </c>
      <c r="C339" s="337">
        <f t="shared" si="135"/>
        <v>1.0802885465800698</v>
      </c>
      <c r="D339" s="338">
        <f t="shared" si="136"/>
        <v>0.38797086242453471</v>
      </c>
      <c r="E339" s="338">
        <f t="shared" si="137"/>
        <v>1.0000011262785311</v>
      </c>
      <c r="F339" s="339">
        <f t="shared" si="138"/>
        <v>1.5008514076411601E-3</v>
      </c>
      <c r="G339" s="338">
        <f t="shared" si="139"/>
        <v>1</v>
      </c>
      <c r="H339" s="339">
        <f t="shared" si="140"/>
        <v>0</v>
      </c>
      <c r="I339" s="337">
        <f t="shared" si="141"/>
        <v>183938.49280803234</v>
      </c>
      <c r="J339" s="340">
        <f t="shared" si="142"/>
        <v>1.570790890194951</v>
      </c>
      <c r="K339" s="348">
        <f t="shared" si="132"/>
        <v>4.3414778501422777</v>
      </c>
      <c r="L339" s="349">
        <f t="shared" si="133"/>
        <v>1.3383730523209458</v>
      </c>
      <c r="M339" s="337">
        <f t="shared" si="143"/>
        <v>1.0003115764533725</v>
      </c>
      <c r="N339" s="340">
        <f t="shared" si="144"/>
        <v>2.4959790663022258E-2</v>
      </c>
      <c r="O339" s="341">
        <f t="shared" si="145"/>
        <v>1.0001255725278293</v>
      </c>
      <c r="P339" s="342">
        <f t="shared" si="146"/>
        <v>3.7716751758131016E-2</v>
      </c>
      <c r="Q339" s="343">
        <f t="shared" si="147"/>
        <v>-0.78644727022938543</v>
      </c>
      <c r="R339" s="344">
        <f t="shared" si="148"/>
        <v>-39.050763133205486</v>
      </c>
      <c r="S339" s="346">
        <f t="shared" si="149"/>
        <v>140.94923686679451</v>
      </c>
      <c r="U339" s="319">
        <f t="shared" si="155"/>
        <v>25411.5</v>
      </c>
      <c r="V339" s="319">
        <f t="shared" si="156"/>
        <v>645744332.25</v>
      </c>
      <c r="X339" s="345">
        <f t="shared" si="150"/>
        <v>5.1638178249799216</v>
      </c>
      <c r="Y339" s="346">
        <f t="shared" si="151"/>
        <v>-14.746651873108037</v>
      </c>
      <c r="AA339" s="345">
        <f t="shared" si="152"/>
        <v>32.26770191813695</v>
      </c>
      <c r="AB339" s="346">
        <f t="shared" si="153"/>
        <v>-24.304111260097457</v>
      </c>
      <c r="AD339">
        <f t="shared" si="157"/>
        <v>0</v>
      </c>
      <c r="AE339">
        <f t="shared" si="134"/>
        <v>0</v>
      </c>
    </row>
    <row r="340" spans="1:31" x14ac:dyDescent="0.2">
      <c r="A340" s="347">
        <v>25557.75</v>
      </c>
      <c r="B340" s="364">
        <f t="shared" si="154"/>
        <v>25.557749999999999</v>
      </c>
      <c r="C340" s="337">
        <f t="shared" si="135"/>
        <v>1.0811805605506142</v>
      </c>
      <c r="D340" s="338">
        <f t="shared" si="136"/>
        <v>0.38998466296776374</v>
      </c>
      <c r="E340" s="338">
        <f t="shared" si="137"/>
        <v>1.0000011392798998</v>
      </c>
      <c r="F340" s="339">
        <f t="shared" si="138"/>
        <v>1.5094891970630147E-3</v>
      </c>
      <c r="G340" s="338">
        <f t="shared" si="139"/>
        <v>1</v>
      </c>
      <c r="H340" s="339">
        <f t="shared" si="140"/>
        <v>0</v>
      </c>
      <c r="I340" s="337">
        <f t="shared" si="141"/>
        <v>184997.10818187418</v>
      </c>
      <c r="J340" s="340">
        <f t="shared" si="142"/>
        <v>1.5707909213049955</v>
      </c>
      <c r="K340" s="348">
        <f t="shared" si="132"/>
        <v>4.3651421653999387</v>
      </c>
      <c r="L340" s="349">
        <f t="shared" si="133"/>
        <v>1.3396560613700188</v>
      </c>
      <c r="M340" s="337">
        <f t="shared" si="143"/>
        <v>1.0003151726192967</v>
      </c>
      <c r="N340" s="340">
        <f t="shared" si="144"/>
        <v>2.5103380784408345E-2</v>
      </c>
      <c r="O340" s="341">
        <f t="shared" si="145"/>
        <v>1.0001270240049631</v>
      </c>
      <c r="P340" s="342">
        <f t="shared" si="146"/>
        <v>3.7933870585057511E-2</v>
      </c>
      <c r="Q340" s="343">
        <f t="shared" si="147"/>
        <v>-0.7962903924583663</v>
      </c>
      <c r="R340" s="344">
        <f t="shared" si="148"/>
        <v>-39.112808375562558</v>
      </c>
      <c r="S340" s="346">
        <f t="shared" si="149"/>
        <v>140.88719162443743</v>
      </c>
      <c r="U340" s="319">
        <f t="shared" si="155"/>
        <v>25557.75</v>
      </c>
      <c r="V340" s="319">
        <f t="shared" si="156"/>
        <v>653198585.0625</v>
      </c>
      <c r="X340" s="345">
        <f t="shared" si="150"/>
        <v>5.1611563337744384</v>
      </c>
      <c r="Y340" s="346">
        <f t="shared" si="151"/>
        <v>-14.681369759853908</v>
      </c>
      <c r="AA340" s="345">
        <f t="shared" si="152"/>
        <v>32.260520287113458</v>
      </c>
      <c r="AB340" s="346">
        <f t="shared" si="153"/>
        <v>-24.431438615708654</v>
      </c>
      <c r="AD340">
        <f t="shared" si="157"/>
        <v>0</v>
      </c>
      <c r="AE340">
        <f t="shared" si="134"/>
        <v>0</v>
      </c>
    </row>
    <row r="341" spans="1:31" x14ac:dyDescent="0.2">
      <c r="A341" s="347">
        <v>25704</v>
      </c>
      <c r="B341" s="364">
        <f t="shared" si="154"/>
        <v>25.704000000000001</v>
      </c>
      <c r="C341" s="337">
        <f t="shared" si="135"/>
        <v>1.0820769518935303</v>
      </c>
      <c r="D341" s="338">
        <f t="shared" si="136"/>
        <v>0.39199513519276014</v>
      </c>
      <c r="E341" s="338">
        <f t="shared" si="137"/>
        <v>1.0000011523558798</v>
      </c>
      <c r="F341" s="339">
        <f t="shared" si="138"/>
        <v>1.518126986259619E-3</v>
      </c>
      <c r="G341" s="338">
        <f t="shared" si="139"/>
        <v>1</v>
      </c>
      <c r="H341" s="339">
        <f t="shared" si="140"/>
        <v>0</v>
      </c>
      <c r="I341" s="337">
        <f t="shared" si="141"/>
        <v>186055.72355571619</v>
      </c>
      <c r="J341" s="340">
        <f t="shared" si="142"/>
        <v>1.5707909520610217</v>
      </c>
      <c r="K341" s="348">
        <f t="shared" si="132"/>
        <v>4.3888135886765696</v>
      </c>
      <c r="L341" s="349">
        <f t="shared" si="133"/>
        <v>1.3409252324621033</v>
      </c>
      <c r="M341" s="337">
        <f t="shared" si="143"/>
        <v>1.0003187894096934</v>
      </c>
      <c r="N341" s="340">
        <f t="shared" si="144"/>
        <v>2.5246969870415217E-2</v>
      </c>
      <c r="O341" s="341">
        <f t="shared" si="145"/>
        <v>1.0001284838557454</v>
      </c>
      <c r="P341" s="342">
        <f t="shared" si="146"/>
        <v>3.8150990251291997E-2</v>
      </c>
      <c r="Q341" s="343">
        <f t="shared" si="147"/>
        <v>-0.80611977530236179</v>
      </c>
      <c r="R341" s="344">
        <f t="shared" si="148"/>
        <v>-39.175455744360328</v>
      </c>
      <c r="S341" s="346">
        <f t="shared" si="149"/>
        <v>140.82454425563967</v>
      </c>
      <c r="U341" s="319">
        <f t="shared" si="155"/>
        <v>25704</v>
      </c>
      <c r="V341" s="319">
        <f t="shared" si="156"/>
        <v>660695616</v>
      </c>
      <c r="X341" s="345">
        <f t="shared" si="150"/>
        <v>5.1585378791183363</v>
      </c>
      <c r="Y341" s="346">
        <f t="shared" si="151"/>
        <v>-14.616880423526599</v>
      </c>
      <c r="AA341" s="345">
        <f t="shared" si="152"/>
        <v>32.253309358925563</v>
      </c>
      <c r="AB341" s="346">
        <f t="shared" si="153"/>
        <v>-24.558575320833729</v>
      </c>
      <c r="AD341">
        <f t="shared" si="157"/>
        <v>0</v>
      </c>
      <c r="AE341">
        <f t="shared" si="134"/>
        <v>0</v>
      </c>
    </row>
    <row r="342" spans="1:31" x14ac:dyDescent="0.2">
      <c r="A342" s="347">
        <v>25853.75</v>
      </c>
      <c r="B342" s="364">
        <f t="shared" si="154"/>
        <v>25.853750000000002</v>
      </c>
      <c r="C342" s="337">
        <f t="shared" si="135"/>
        <v>1.0829993197464491</v>
      </c>
      <c r="D342" s="338">
        <f t="shared" si="136"/>
        <v>0.39405026421243905</v>
      </c>
      <c r="E342" s="338">
        <f t="shared" si="137"/>
        <v>1.0000011658221006</v>
      </c>
      <c r="F342" s="339">
        <f t="shared" si="138"/>
        <v>1.5269714915441301E-3</v>
      </c>
      <c r="G342" s="338">
        <f t="shared" si="139"/>
        <v>1</v>
      </c>
      <c r="H342" s="339">
        <f t="shared" si="140"/>
        <v>0</v>
      </c>
      <c r="I342" s="337">
        <f t="shared" si="141"/>
        <v>187139.67331457339</v>
      </c>
      <c r="J342" s="340">
        <f t="shared" si="142"/>
        <v>1.5707909831925364</v>
      </c>
      <c r="K342" s="348">
        <f t="shared" si="132"/>
        <v>4.4130587533014971</v>
      </c>
      <c r="L342" s="349">
        <f t="shared" si="133"/>
        <v>1.3422106665540663</v>
      </c>
      <c r="M342" s="337">
        <f t="shared" si="143"/>
        <v>1.0003225141262686</v>
      </c>
      <c r="N342" s="340">
        <f t="shared" si="144"/>
        <v>2.5393994197413516E-2</v>
      </c>
      <c r="O342" s="341">
        <f t="shared" si="145"/>
        <v>1.0001299873205545</v>
      </c>
      <c r="P342" s="342">
        <f t="shared" si="146"/>
        <v>3.8373306818394438E-2</v>
      </c>
      <c r="Q342" s="343">
        <f t="shared" si="147"/>
        <v>-0.81617095759862557</v>
      </c>
      <c r="R342" s="344">
        <f t="shared" si="148"/>
        <v>-39.240212720618338</v>
      </c>
      <c r="S342" s="346">
        <f t="shared" si="149"/>
        <v>140.75978727938167</v>
      </c>
      <c r="U342" s="319">
        <f t="shared" si="155"/>
        <v>25853.75</v>
      </c>
      <c r="V342" s="319">
        <f t="shared" si="156"/>
        <v>668416389.0625</v>
      </c>
      <c r="X342" s="345">
        <f t="shared" si="150"/>
        <v>5.1559003794790739</v>
      </c>
      <c r="Y342" s="346">
        <f t="shared" si="151"/>
        <v>-14.551656132267512</v>
      </c>
      <c r="AA342" s="345">
        <f t="shared" si="152"/>
        <v>32.245895676268567</v>
      </c>
      <c r="AB342" s="346">
        <f t="shared" si="153"/>
        <v>-24.688556588350842</v>
      </c>
      <c r="AD342">
        <f t="shared" si="157"/>
        <v>0</v>
      </c>
      <c r="AE342">
        <f t="shared" si="134"/>
        <v>0</v>
      </c>
    </row>
    <row r="343" spans="1:31" x14ac:dyDescent="0.2">
      <c r="A343" s="347">
        <v>26003.5</v>
      </c>
      <c r="B343" s="364">
        <f t="shared" si="154"/>
        <v>26.003499999999999</v>
      </c>
      <c r="C343" s="337">
        <f t="shared" si="135"/>
        <v>1.0839262539109324</v>
      </c>
      <c r="D343" s="338">
        <f t="shared" si="136"/>
        <v>0.3961018869423078</v>
      </c>
      <c r="E343" s="338">
        <f t="shared" si="137"/>
        <v>1.0000011793665466</v>
      </c>
      <c r="F343" s="339">
        <f t="shared" si="138"/>
        <v>1.5358159965897455E-3</v>
      </c>
      <c r="G343" s="338">
        <f t="shared" si="139"/>
        <v>1</v>
      </c>
      <c r="H343" s="339">
        <f t="shared" si="140"/>
        <v>0</v>
      </c>
      <c r="I343" s="337">
        <f t="shared" si="141"/>
        <v>188223.62307343082</v>
      </c>
      <c r="J343" s="340">
        <f t="shared" si="142"/>
        <v>1.5707910139654884</v>
      </c>
      <c r="K343" s="348">
        <f t="shared" ref="K343:K406" si="158">SQRT(1+(A343/Zero2)^2)</f>
        <v>4.4373111301118584</v>
      </c>
      <c r="L343" s="349">
        <f t="shared" ref="L343:L406" si="159">ATAN(A343/Zero2)</f>
        <v>1.3434820515011565</v>
      </c>
      <c r="M343" s="337">
        <f t="shared" si="143"/>
        <v>1.0003262604658067</v>
      </c>
      <c r="N343" s="340">
        <f t="shared" si="144"/>
        <v>2.5541017426343068E-2</v>
      </c>
      <c r="O343" s="341">
        <f t="shared" si="145"/>
        <v>1.0001314995662043</v>
      </c>
      <c r="P343" s="342">
        <f t="shared" si="146"/>
        <v>3.8595624275595285E-2</v>
      </c>
      <c r="Q343" s="343">
        <f t="shared" si="147"/>
        <v>-0.82620933942993147</v>
      </c>
      <c r="R343" s="344">
        <f t="shared" si="148"/>
        <v>-39.305573725529918</v>
      </c>
      <c r="S343" s="346">
        <f t="shared" si="149"/>
        <v>140.69442627447009</v>
      </c>
      <c r="U343" s="319">
        <f t="shared" si="155"/>
        <v>26003.5</v>
      </c>
      <c r="V343" s="319">
        <f t="shared" si="156"/>
        <v>676182012.25</v>
      </c>
      <c r="X343" s="345">
        <f t="shared" si="150"/>
        <v>5.1533060470584395</v>
      </c>
      <c r="Y343" s="346">
        <f t="shared" si="151"/>
        <v>-14.48723671425749</v>
      </c>
      <c r="AA343" s="345">
        <f t="shared" si="152"/>
        <v>32.238451626857895</v>
      </c>
      <c r="AB343" s="346">
        <f t="shared" si="153"/>
        <v>-24.818337011272416</v>
      </c>
      <c r="AD343">
        <f t="shared" si="157"/>
        <v>0</v>
      </c>
      <c r="AE343">
        <f t="shared" si="134"/>
        <v>0</v>
      </c>
    </row>
    <row r="344" spans="1:31" x14ac:dyDescent="0.2">
      <c r="A344" s="347">
        <v>26153.25</v>
      </c>
      <c r="B344" s="364">
        <f t="shared" si="154"/>
        <v>26.15325</v>
      </c>
      <c r="C344" s="337">
        <f t="shared" si="135"/>
        <v>1.0848577426822104</v>
      </c>
      <c r="D344" s="338">
        <f t="shared" si="136"/>
        <v>0.3981499951209847</v>
      </c>
      <c r="E344" s="338">
        <f t="shared" si="137"/>
        <v>1.0000011929892183</v>
      </c>
      <c r="F344" s="339">
        <f t="shared" si="138"/>
        <v>1.5446605013950813E-3</v>
      </c>
      <c r="G344" s="338">
        <f t="shared" si="139"/>
        <v>1</v>
      </c>
      <c r="H344" s="339">
        <f t="shared" si="140"/>
        <v>0</v>
      </c>
      <c r="I344" s="337">
        <f t="shared" si="141"/>
        <v>189307.5728322884</v>
      </c>
      <c r="J344" s="340">
        <f t="shared" si="142"/>
        <v>1.5707910443860367</v>
      </c>
      <c r="K344" s="348">
        <f t="shared" si="158"/>
        <v>4.46157060149483</v>
      </c>
      <c r="L344" s="349">
        <f t="shared" si="159"/>
        <v>1.3447396123329858</v>
      </c>
      <c r="M344" s="337">
        <f t="shared" si="143"/>
        <v>1.000330028428065</v>
      </c>
      <c r="N344" s="340">
        <f t="shared" si="144"/>
        <v>2.5688039550860183E-2</v>
      </c>
      <c r="O344" s="341">
        <f t="shared" si="145"/>
        <v>1.0001330205935142</v>
      </c>
      <c r="P344" s="342">
        <f t="shared" si="146"/>
        <v>3.8817942628022649E-2</v>
      </c>
      <c r="Q344" s="343">
        <f t="shared" si="147"/>
        <v>-0.83623569275430554</v>
      </c>
      <c r="R344" s="344">
        <f t="shared" si="148"/>
        <v>-39.371525392788953</v>
      </c>
      <c r="S344" s="346">
        <f t="shared" si="149"/>
        <v>140.62847460721105</v>
      </c>
      <c r="U344" s="319">
        <f t="shared" si="155"/>
        <v>26153.25</v>
      </c>
      <c r="V344" s="319">
        <f t="shared" si="156"/>
        <v>683992485.5625</v>
      </c>
      <c r="X344" s="345">
        <f t="shared" si="150"/>
        <v>5.1507539331140002</v>
      </c>
      <c r="Y344" s="346">
        <f t="shared" si="151"/>
        <v>-14.423609276238906</v>
      </c>
      <c r="AA344" s="345">
        <f t="shared" si="152"/>
        <v>32.230977387477957</v>
      </c>
      <c r="AB344" s="346">
        <f t="shared" si="153"/>
        <v>-24.947916116550054</v>
      </c>
      <c r="AD344">
        <f t="shared" si="157"/>
        <v>0</v>
      </c>
      <c r="AE344">
        <f t="shared" si="134"/>
        <v>0</v>
      </c>
    </row>
    <row r="345" spans="1:31" x14ac:dyDescent="0.2">
      <c r="A345" s="347">
        <v>26303</v>
      </c>
      <c r="B345" s="364">
        <f t="shared" si="154"/>
        <v>26.303000000000001</v>
      </c>
      <c r="C345" s="337">
        <f t="shared" si="135"/>
        <v>1.085793774338264</v>
      </c>
      <c r="D345" s="338">
        <f t="shared" si="136"/>
        <v>0.40019458063330837</v>
      </c>
      <c r="E345" s="338">
        <f t="shared" si="137"/>
        <v>1.0000012066901152</v>
      </c>
      <c r="F345" s="339">
        <f t="shared" si="138"/>
        <v>1.5535050059587538E-3</v>
      </c>
      <c r="G345" s="338">
        <f t="shared" si="139"/>
        <v>1</v>
      </c>
      <c r="H345" s="339">
        <f t="shared" si="140"/>
        <v>0</v>
      </c>
      <c r="I345" s="337">
        <f t="shared" si="141"/>
        <v>190391.52259114612</v>
      </c>
      <c r="J345" s="340">
        <f t="shared" si="142"/>
        <v>1.5707910744602003</v>
      </c>
      <c r="K345" s="348">
        <f t="shared" si="158"/>
        <v>4.4858370523477609</v>
      </c>
      <c r="L345" s="349">
        <f t="shared" si="159"/>
        <v>1.3459835693869537</v>
      </c>
      <c r="M345" s="337">
        <f t="shared" si="143"/>
        <v>1.0003338180127987</v>
      </c>
      <c r="N345" s="340">
        <f t="shared" si="144"/>
        <v>2.5835060564621468E-2</v>
      </c>
      <c r="O345" s="341">
        <f t="shared" si="145"/>
        <v>1.0001345504033086</v>
      </c>
      <c r="P345" s="342">
        <f t="shared" si="146"/>
        <v>3.9040261880804138E-2</v>
      </c>
      <c r="Q345" s="343">
        <f t="shared" si="147"/>
        <v>-0.84625076394937759</v>
      </c>
      <c r="R345" s="344">
        <f t="shared" si="148"/>
        <v>-39.438054633303238</v>
      </c>
      <c r="S345" s="346">
        <f t="shared" si="149"/>
        <v>140.56194536669676</v>
      </c>
      <c r="U345" s="319">
        <f t="shared" si="155"/>
        <v>26303</v>
      </c>
      <c r="V345" s="319">
        <f t="shared" si="156"/>
        <v>691847809</v>
      </c>
      <c r="X345" s="345">
        <f t="shared" si="150"/>
        <v>5.1482431145010263</v>
      </c>
      <c r="Y345" s="346">
        <f t="shared" si="151"/>
        <v>-14.360761193790104</v>
      </c>
      <c r="AA345" s="345">
        <f t="shared" si="152"/>
        <v>32.223473134895862</v>
      </c>
      <c r="AB345" s="346">
        <f t="shared" si="153"/>
        <v>-25.077293439513127</v>
      </c>
      <c r="AD345">
        <f t="shared" si="157"/>
        <v>0</v>
      </c>
      <c r="AE345">
        <f t="shared" si="134"/>
        <v>0</v>
      </c>
    </row>
    <row r="346" spans="1:31" x14ac:dyDescent="0.2">
      <c r="A346" s="347">
        <v>26456</v>
      </c>
      <c r="B346" s="364">
        <f t="shared" si="154"/>
        <v>26.456</v>
      </c>
      <c r="C346" s="337">
        <f t="shared" si="135"/>
        <v>1.0867548001712548</v>
      </c>
      <c r="D346" s="338">
        <f t="shared" si="136"/>
        <v>0.40227989299065786</v>
      </c>
      <c r="E346" s="338">
        <f t="shared" si="137"/>
        <v>1.0000012207691509</v>
      </c>
      <c r="F346" s="339">
        <f t="shared" si="138"/>
        <v>1.562541461121697E-3</v>
      </c>
      <c r="G346" s="338">
        <f t="shared" si="139"/>
        <v>1</v>
      </c>
      <c r="H346" s="339">
        <f t="shared" si="140"/>
        <v>0</v>
      </c>
      <c r="I346" s="337">
        <f t="shared" si="141"/>
        <v>191498.99713608943</v>
      </c>
      <c r="J346" s="340">
        <f t="shared" si="142"/>
        <v>1.5707911048354348</v>
      </c>
      <c r="K346" s="348">
        <f t="shared" si="158"/>
        <v>4.5106372451986108</v>
      </c>
      <c r="L346" s="349">
        <f t="shared" si="159"/>
        <v>1.347240698423021</v>
      </c>
      <c r="M346" s="337">
        <f t="shared" si="143"/>
        <v>1.0003377121734922</v>
      </c>
      <c r="N346" s="340">
        <f t="shared" si="144"/>
        <v>2.598527119786059E-2</v>
      </c>
      <c r="O346" s="341">
        <f t="shared" si="145"/>
        <v>1.00013612248564</v>
      </c>
      <c r="P346" s="342">
        <f t="shared" si="146"/>
        <v>3.9267407027537206E-2</v>
      </c>
      <c r="Q346" s="343">
        <f t="shared" si="147"/>
        <v>-0.85647228908765183</v>
      </c>
      <c r="R346" s="344">
        <f t="shared" si="148"/>
        <v>-39.506610925551591</v>
      </c>
      <c r="S346" s="346">
        <f t="shared" si="149"/>
        <v>140.4933890744484</v>
      </c>
      <c r="U346" s="319">
        <f t="shared" si="155"/>
        <v>26456</v>
      </c>
      <c r="V346" s="319">
        <f t="shared" si="156"/>
        <v>699919936</v>
      </c>
      <c r="X346" s="345">
        <f t="shared" si="150"/>
        <v>5.1457195189963576</v>
      </c>
      <c r="Y346" s="346">
        <f t="shared" si="151"/>
        <v>-14.297341181342968</v>
      </c>
      <c r="AA346" s="345">
        <f t="shared" si="152"/>
        <v>32.215775205262254</v>
      </c>
      <c r="AB346" s="346">
        <f t="shared" si="153"/>
        <v>-25.209269744208626</v>
      </c>
      <c r="AD346">
        <f t="shared" si="157"/>
        <v>0</v>
      </c>
      <c r="AE346">
        <f t="shared" ref="AE346:AE409" si="160">IF(AD346&gt;0,S346,0)</f>
        <v>0</v>
      </c>
    </row>
    <row r="347" spans="1:31" x14ac:dyDescent="0.2">
      <c r="A347" s="347">
        <v>26609</v>
      </c>
      <c r="B347" s="364">
        <f t="shared" si="154"/>
        <v>26.609000000000002</v>
      </c>
      <c r="C347" s="337">
        <f t="shared" si="135"/>
        <v>1.0877205434248696</v>
      </c>
      <c r="D347" s="338">
        <f t="shared" si="136"/>
        <v>0.40436151145694416</v>
      </c>
      <c r="E347" s="338">
        <f t="shared" si="137"/>
        <v>1.0000012349298439</v>
      </c>
      <c r="F347" s="339">
        <f t="shared" si="138"/>
        <v>1.571577916029453E-3</v>
      </c>
      <c r="G347" s="338">
        <f t="shared" si="139"/>
        <v>1</v>
      </c>
      <c r="H347" s="339">
        <f t="shared" si="140"/>
        <v>0</v>
      </c>
      <c r="I347" s="337">
        <f t="shared" si="141"/>
        <v>192606.47168103294</v>
      </c>
      <c r="J347" s="340">
        <f t="shared" si="142"/>
        <v>1.5707911348613584</v>
      </c>
      <c r="K347" s="348">
        <f t="shared" si="158"/>
        <v>4.5354444885757292</v>
      </c>
      <c r="L347" s="349">
        <f t="shared" si="159"/>
        <v>1.3484840773225892</v>
      </c>
      <c r="M347" s="337">
        <f t="shared" si="143"/>
        <v>1.0003416289048639</v>
      </c>
      <c r="N347" s="340">
        <f t="shared" si="144"/>
        <v>2.6135480658221355E-2</v>
      </c>
      <c r="O347" s="341">
        <f t="shared" si="145"/>
        <v>1.0001377037375572</v>
      </c>
      <c r="P347" s="342">
        <f t="shared" si="146"/>
        <v>3.9494553124948796E-2</v>
      </c>
      <c r="Q347" s="343">
        <f t="shared" si="147"/>
        <v>-0.86668353408953791</v>
      </c>
      <c r="R347" s="344">
        <f t="shared" si="148"/>
        <v>-39.575743365491284</v>
      </c>
      <c r="S347" s="346">
        <f t="shared" si="149"/>
        <v>140.42425663450871</v>
      </c>
      <c r="U347" s="319">
        <f t="shared" si="155"/>
        <v>26609</v>
      </c>
      <c r="V347" s="319">
        <f t="shared" si="156"/>
        <v>708038881</v>
      </c>
      <c r="X347" s="345">
        <f t="shared" si="150"/>
        <v>5.1432371607587521</v>
      </c>
      <c r="Y347" s="346">
        <f t="shared" si="151"/>
        <v>-14.234708906470818</v>
      </c>
      <c r="AA347" s="345">
        <f t="shared" si="152"/>
        <v>32.208046318497971</v>
      </c>
      <c r="AB347" s="346">
        <f t="shared" si="153"/>
        <v>-25.341034459020467</v>
      </c>
      <c r="AD347">
        <f t="shared" si="157"/>
        <v>0</v>
      </c>
      <c r="AE347">
        <f t="shared" si="160"/>
        <v>0</v>
      </c>
    </row>
    <row r="348" spans="1:31" x14ac:dyDescent="0.2">
      <c r="A348" s="347">
        <v>26762</v>
      </c>
      <c r="B348" s="364">
        <f t="shared" si="154"/>
        <v>26.762</v>
      </c>
      <c r="C348" s="337">
        <f t="shared" si="135"/>
        <v>1.0886909915450851</v>
      </c>
      <c r="D348" s="338">
        <f t="shared" si="136"/>
        <v>0.40643942784655746</v>
      </c>
      <c r="E348" s="338">
        <f t="shared" si="137"/>
        <v>1.0000012491721948</v>
      </c>
      <c r="F348" s="339">
        <f t="shared" si="138"/>
        <v>1.5806143706805465E-3</v>
      </c>
      <c r="G348" s="338">
        <f t="shared" si="139"/>
        <v>1</v>
      </c>
      <c r="H348" s="339">
        <f t="shared" si="140"/>
        <v>0</v>
      </c>
      <c r="I348" s="337">
        <f t="shared" si="141"/>
        <v>193713.9462259766</v>
      </c>
      <c r="J348" s="340">
        <f t="shared" si="142"/>
        <v>1.5707911645439618</v>
      </c>
      <c r="K348" s="348">
        <f t="shared" si="158"/>
        <v>4.5602586674171421</v>
      </c>
      <c r="L348" s="349">
        <f t="shared" si="159"/>
        <v>1.3497139266693117</v>
      </c>
      <c r="M348" s="337">
        <f t="shared" si="143"/>
        <v>1.0003455682066487</v>
      </c>
      <c r="N348" s="340">
        <f t="shared" si="144"/>
        <v>2.6285688938939254E-2</v>
      </c>
      <c r="O348" s="341">
        <f t="shared" si="145"/>
        <v>1.0001392941599547</v>
      </c>
      <c r="P348" s="342">
        <f t="shared" si="146"/>
        <v>3.9721700178506097E-2</v>
      </c>
      <c r="Q348" s="343">
        <f t="shared" si="147"/>
        <v>-0.87688521752651227</v>
      </c>
      <c r="R348" s="344">
        <f t="shared" si="148"/>
        <v>-39.645438845878076</v>
      </c>
      <c r="S348" s="346">
        <f t="shared" si="149"/>
        <v>140.35456115412194</v>
      </c>
      <c r="U348" s="319">
        <f t="shared" si="155"/>
        <v>26762</v>
      </c>
      <c r="V348" s="319">
        <f t="shared" si="156"/>
        <v>716204644</v>
      </c>
      <c r="X348" s="345">
        <f t="shared" si="150"/>
        <v>5.1407951328118724</v>
      </c>
      <c r="Y348" s="346">
        <f t="shared" si="151"/>
        <v>-14.172851730616987</v>
      </c>
      <c r="AA348" s="345">
        <f t="shared" si="152"/>
        <v>32.200286663007873</v>
      </c>
      <c r="AB348" s="346">
        <f t="shared" si="153"/>
        <v>-25.472587115261089</v>
      </c>
      <c r="AD348">
        <f t="shared" si="157"/>
        <v>0</v>
      </c>
      <c r="AE348">
        <f t="shared" si="160"/>
        <v>0</v>
      </c>
    </row>
    <row r="349" spans="1:31" x14ac:dyDescent="0.2">
      <c r="A349" s="347">
        <v>26915</v>
      </c>
      <c r="B349" s="364">
        <f t="shared" si="154"/>
        <v>26.914999999999999</v>
      </c>
      <c r="C349" s="337">
        <f t="shared" si="135"/>
        <v>1.0896661319615502</v>
      </c>
      <c r="D349" s="338">
        <f t="shared" si="136"/>
        <v>0.4085136341308529</v>
      </c>
      <c r="E349" s="338">
        <f t="shared" si="137"/>
        <v>1.0000012634962032</v>
      </c>
      <c r="F349" s="339">
        <f t="shared" si="138"/>
        <v>1.5896508250735019E-3</v>
      </c>
      <c r="G349" s="338">
        <f t="shared" si="139"/>
        <v>1</v>
      </c>
      <c r="H349" s="339">
        <f t="shared" si="140"/>
        <v>0</v>
      </c>
      <c r="I349" s="337">
        <f t="shared" si="141"/>
        <v>194821.42077092046</v>
      </c>
      <c r="J349" s="340">
        <f t="shared" si="142"/>
        <v>1.5707911938890999</v>
      </c>
      <c r="K349" s="348">
        <f t="shared" si="158"/>
        <v>4.5850796691198905</v>
      </c>
      <c r="L349" s="349">
        <f t="shared" si="159"/>
        <v>1.3509304624361074</v>
      </c>
      <c r="M349" s="337">
        <f t="shared" si="143"/>
        <v>1.0003495300785799</v>
      </c>
      <c r="N349" s="340">
        <f t="shared" si="144"/>
        <v>2.6435896033250108E-2</v>
      </c>
      <c r="O349" s="341">
        <f t="shared" si="145"/>
        <v>1.0001408937537324</v>
      </c>
      <c r="P349" s="342">
        <f t="shared" si="146"/>
        <v>3.9948848193675786E-2</v>
      </c>
      <c r="Q349" s="343">
        <f t="shared" si="147"/>
        <v>-0.88707803354641479</v>
      </c>
      <c r="R349" s="344">
        <f t="shared" si="148"/>
        <v>-39.715684532628885</v>
      </c>
      <c r="S349" s="346">
        <f t="shared" si="149"/>
        <v>140.28431546737113</v>
      </c>
      <c r="U349" s="319">
        <f t="shared" si="155"/>
        <v>26915</v>
      </c>
      <c r="V349" s="319">
        <f t="shared" si="156"/>
        <v>724417225</v>
      </c>
      <c r="X349" s="345">
        <f t="shared" si="150"/>
        <v>5.1383925526667005</v>
      </c>
      <c r="Y349" s="346">
        <f t="shared" si="151"/>
        <v>-14.11175727939256</v>
      </c>
      <c r="AA349" s="345">
        <f t="shared" si="152"/>
        <v>32.192496427133143</v>
      </c>
      <c r="AB349" s="346">
        <f t="shared" si="153"/>
        <v>-25.603927253236321</v>
      </c>
      <c r="AD349">
        <f t="shared" si="157"/>
        <v>0</v>
      </c>
      <c r="AE349">
        <f t="shared" si="160"/>
        <v>0</v>
      </c>
    </row>
    <row r="350" spans="1:31" x14ac:dyDescent="0.2">
      <c r="A350" s="347">
        <v>27071.75</v>
      </c>
      <c r="B350" s="364">
        <f t="shared" si="154"/>
        <v>27.071750000000002</v>
      </c>
      <c r="C350" s="337">
        <f t="shared" si="135"/>
        <v>1.0906700259356552</v>
      </c>
      <c r="D350" s="338">
        <f t="shared" si="136"/>
        <v>0.4106348229540403</v>
      </c>
      <c r="E350" s="338">
        <f t="shared" si="137"/>
        <v>1.0000012782559744</v>
      </c>
      <c r="F350" s="339">
        <f t="shared" si="138"/>
        <v>1.5989087609225255E-3</v>
      </c>
      <c r="G350" s="338">
        <f t="shared" si="139"/>
        <v>1</v>
      </c>
      <c r="H350" s="339">
        <f t="shared" si="140"/>
        <v>0</v>
      </c>
      <c r="I350" s="337">
        <f t="shared" si="141"/>
        <v>195956.03929980914</v>
      </c>
      <c r="J350" s="340">
        <f t="shared" si="142"/>
        <v>1.5707912236094905</v>
      </c>
      <c r="K350" s="348">
        <f t="shared" si="158"/>
        <v>4.6105159892465961</v>
      </c>
      <c r="L350" s="349">
        <f t="shared" si="159"/>
        <v>1.3521632292892187</v>
      </c>
      <c r="M350" s="337">
        <f t="shared" si="143"/>
        <v>1.0003536124616454</v>
      </c>
      <c r="N350" s="340">
        <f t="shared" si="144"/>
        <v>2.6589783436536975E-2</v>
      </c>
      <c r="O350" s="341">
        <f t="shared" si="145"/>
        <v>1.0001425420655039</v>
      </c>
      <c r="P350" s="342">
        <f t="shared" si="146"/>
        <v>4.0181564565128121E-2</v>
      </c>
      <c r="Q350" s="343">
        <f t="shared" si="147"/>
        <v>-0.89751217830451047</v>
      </c>
      <c r="R350" s="344">
        <f t="shared" si="148"/>
        <v>-39.788209388861979</v>
      </c>
      <c r="S350" s="346">
        <f t="shared" si="149"/>
        <v>140.21179061113801</v>
      </c>
      <c r="U350" s="319">
        <f t="shared" si="155"/>
        <v>27071.75</v>
      </c>
      <c r="V350" s="319">
        <f t="shared" si="156"/>
        <v>732879648.0625</v>
      </c>
      <c r="X350" s="345">
        <f t="shared" si="150"/>
        <v>5.1359710979467508</v>
      </c>
      <c r="Y350" s="346">
        <f t="shared" si="151"/>
        <v>-14.049943743096538</v>
      </c>
      <c r="AA350" s="345">
        <f t="shared" si="152"/>
        <v>32.184483737095</v>
      </c>
      <c r="AB350" s="346">
        <f t="shared" si="153"/>
        <v>-25.738265645765456</v>
      </c>
      <c r="AD350">
        <f t="shared" si="157"/>
        <v>0</v>
      </c>
      <c r="AE350">
        <f t="shared" si="160"/>
        <v>0</v>
      </c>
    </row>
    <row r="351" spans="1:31" x14ac:dyDescent="0.2">
      <c r="A351" s="347">
        <v>27228.5</v>
      </c>
      <c r="B351" s="364">
        <f t="shared" si="154"/>
        <v>27.2285</v>
      </c>
      <c r="C351" s="337">
        <f t="shared" si="135"/>
        <v>1.0916788182778647</v>
      </c>
      <c r="D351" s="338">
        <f t="shared" si="136"/>
        <v>0.41275210101699966</v>
      </c>
      <c r="E351" s="338">
        <f t="shared" si="137"/>
        <v>1.0000012931014552</v>
      </c>
      <c r="F351" s="339">
        <f t="shared" si="138"/>
        <v>1.6081666964974663E-3</v>
      </c>
      <c r="G351" s="338">
        <f t="shared" si="139"/>
        <v>1</v>
      </c>
      <c r="H351" s="339">
        <f t="shared" si="140"/>
        <v>0</v>
      </c>
      <c r="I351" s="337">
        <f t="shared" si="141"/>
        <v>197090.65782869802</v>
      </c>
      <c r="J351" s="340">
        <f t="shared" si="142"/>
        <v>1.5707912529876902</v>
      </c>
      <c r="K351" s="348">
        <f t="shared" si="158"/>
        <v>4.63595923914579</v>
      </c>
      <c r="L351" s="349">
        <f t="shared" si="159"/>
        <v>1.3533824665413465</v>
      </c>
      <c r="M351" s="337">
        <f t="shared" si="143"/>
        <v>1.0003577185342243</v>
      </c>
      <c r="N351" s="340">
        <f t="shared" si="144"/>
        <v>2.6743669580174257E-2</v>
      </c>
      <c r="O351" s="341">
        <f t="shared" si="145"/>
        <v>1.0001442000056706</v>
      </c>
      <c r="P351" s="342">
        <f t="shared" si="146"/>
        <v>4.0414281957523168E-2</v>
      </c>
      <c r="Q351" s="343">
        <f t="shared" si="147"/>
        <v>-0.90793841549181908</v>
      </c>
      <c r="R351" s="344">
        <f t="shared" si="148"/>
        <v>-39.861285330807519</v>
      </c>
      <c r="S351" s="346">
        <f t="shared" si="149"/>
        <v>140.1387146691925</v>
      </c>
      <c r="U351" s="319">
        <f t="shared" si="155"/>
        <v>27228.5</v>
      </c>
      <c r="V351" s="319">
        <f t="shared" si="156"/>
        <v>741391212.25</v>
      </c>
      <c r="X351" s="345">
        <f t="shared" si="150"/>
        <v>5.1335892486251282</v>
      </c>
      <c r="Y351" s="346">
        <f t="shared" si="151"/>
        <v>-13.988905304057546</v>
      </c>
      <c r="AA351" s="345">
        <f t="shared" si="152"/>
        <v>32.176439349229312</v>
      </c>
      <c r="AB351" s="346">
        <f t="shared" si="153"/>
        <v>-25.872380026749983</v>
      </c>
      <c r="AD351">
        <f t="shared" si="157"/>
        <v>0</v>
      </c>
      <c r="AE351">
        <f t="shared" si="160"/>
        <v>0</v>
      </c>
    </row>
    <row r="352" spans="1:31" x14ac:dyDescent="0.2">
      <c r="A352" s="347">
        <v>27385.25</v>
      </c>
      <c r="B352" s="364">
        <f t="shared" si="154"/>
        <v>27.385249999999999</v>
      </c>
      <c r="C352" s="337">
        <f t="shared" si="135"/>
        <v>1.0926924954214081</v>
      </c>
      <c r="D352" s="338">
        <f t="shared" si="136"/>
        <v>0.41486546019456894</v>
      </c>
      <c r="E352" s="338">
        <f t="shared" si="137"/>
        <v>1.0000013080326455</v>
      </c>
      <c r="F352" s="339">
        <f t="shared" si="138"/>
        <v>1.6174246317967366E-3</v>
      </c>
      <c r="G352" s="338">
        <f t="shared" si="139"/>
        <v>1</v>
      </c>
      <c r="H352" s="339">
        <f t="shared" si="140"/>
        <v>0</v>
      </c>
      <c r="I352" s="337">
        <f t="shared" si="141"/>
        <v>198225.27635758705</v>
      </c>
      <c r="J352" s="340">
        <f t="shared" si="142"/>
        <v>1.5707912820295751</v>
      </c>
      <c r="K352" s="348">
        <f t="shared" si="158"/>
        <v>4.6614093053436783</v>
      </c>
      <c r="L352" s="349">
        <f t="shared" si="159"/>
        <v>1.3545883921417721</v>
      </c>
      <c r="M352" s="337">
        <f t="shared" si="143"/>
        <v>1.0003618482960244</v>
      </c>
      <c r="N352" s="340">
        <f t="shared" si="144"/>
        <v>2.6897554456889169E-2</v>
      </c>
      <c r="O352" s="341">
        <f t="shared" si="145"/>
        <v>1.0001458675752173</v>
      </c>
      <c r="P352" s="342">
        <f t="shared" si="146"/>
        <v>4.0647000376737699E-2</v>
      </c>
      <c r="Q352" s="343">
        <f t="shared" si="147"/>
        <v>-0.91835741691008288</v>
      </c>
      <c r="R352" s="344">
        <f t="shared" si="148"/>
        <v>-39.934899405610828</v>
      </c>
      <c r="S352" s="346">
        <f t="shared" si="149"/>
        <v>140.06510059438918</v>
      </c>
      <c r="U352" s="319">
        <f t="shared" si="155"/>
        <v>27385.25</v>
      </c>
      <c r="V352" s="319">
        <f t="shared" si="156"/>
        <v>749951917.5625</v>
      </c>
      <c r="X352" s="345">
        <f t="shared" si="150"/>
        <v>5.1312461306485488</v>
      </c>
      <c r="Y352" s="346">
        <f t="shared" si="151"/>
        <v>-13.928629474621607</v>
      </c>
      <c r="AA352" s="345">
        <f t="shared" si="152"/>
        <v>32.168363465787628</v>
      </c>
      <c r="AB352" s="346">
        <f t="shared" si="153"/>
        <v>-26.006269930989227</v>
      </c>
      <c r="AD352">
        <f t="shared" si="157"/>
        <v>0</v>
      </c>
      <c r="AE352">
        <f t="shared" si="160"/>
        <v>0</v>
      </c>
    </row>
    <row r="353" spans="1:31" x14ac:dyDescent="0.2">
      <c r="A353" s="347">
        <v>27542</v>
      </c>
      <c r="B353" s="364">
        <f t="shared" si="154"/>
        <v>27.542000000000002</v>
      </c>
      <c r="C353" s="337">
        <f t="shared" si="135"/>
        <v>1.0937110437842383</v>
      </c>
      <c r="D353" s="338">
        <f t="shared" si="136"/>
        <v>0.41697489253165748</v>
      </c>
      <c r="E353" s="338">
        <f t="shared" si="137"/>
        <v>1.0000013230495453</v>
      </c>
      <c r="F353" s="339">
        <f t="shared" si="138"/>
        <v>1.6266825668187499E-3</v>
      </c>
      <c r="G353" s="338">
        <f t="shared" si="139"/>
        <v>1</v>
      </c>
      <c r="H353" s="339">
        <f t="shared" si="140"/>
        <v>0</v>
      </c>
      <c r="I353" s="337">
        <f t="shared" si="141"/>
        <v>199359.89488647628</v>
      </c>
      <c r="J353" s="340">
        <f t="shared" si="142"/>
        <v>1.5707913107408875</v>
      </c>
      <c r="K353" s="348">
        <f t="shared" si="158"/>
        <v>4.6868660768010839</v>
      </c>
      <c r="L353" s="349">
        <f t="shared" si="159"/>
        <v>1.3557812194613774</v>
      </c>
      <c r="M353" s="337">
        <f t="shared" si="143"/>
        <v>1.0003660017467528</v>
      </c>
      <c r="N353" s="340">
        <f t="shared" si="144"/>
        <v>2.7051438059409294E-2</v>
      </c>
      <c r="O353" s="341">
        <f t="shared" si="145"/>
        <v>1.0001475447751336</v>
      </c>
      <c r="P353" s="342">
        <f t="shared" si="146"/>
        <v>4.0879719828647958E-2</v>
      </c>
      <c r="Q353" s="343">
        <f t="shared" si="147"/>
        <v>-0.92876983080357722</v>
      </c>
      <c r="R353" s="344">
        <f t="shared" si="148"/>
        <v>-40.009038932476834</v>
      </c>
      <c r="S353" s="346">
        <f t="shared" si="149"/>
        <v>139.99096106752316</v>
      </c>
      <c r="U353" s="319">
        <f t="shared" si="155"/>
        <v>27542</v>
      </c>
      <c r="V353" s="319">
        <f t="shared" si="156"/>
        <v>758561764</v>
      </c>
      <c r="X353" s="345">
        <f t="shared" si="150"/>
        <v>5.1289408936399532</v>
      </c>
      <c r="Y353" s="346">
        <f t="shared" si="151"/>
        <v>-13.869104029449998</v>
      </c>
      <c r="AA353" s="345">
        <f t="shared" si="152"/>
        <v>32.16025628890273</v>
      </c>
      <c r="AB353" s="346">
        <f t="shared" si="153"/>
        <v>-26.139934903026845</v>
      </c>
      <c r="AD353">
        <f t="shared" si="157"/>
        <v>0</v>
      </c>
      <c r="AE353">
        <f t="shared" si="160"/>
        <v>0</v>
      </c>
    </row>
    <row r="354" spans="1:31" x14ac:dyDescent="0.2">
      <c r="A354" s="347">
        <v>27702.5</v>
      </c>
      <c r="B354" s="364">
        <f t="shared" si="154"/>
        <v>27.702500000000001</v>
      </c>
      <c r="C354" s="337">
        <f t="shared" si="135"/>
        <v>1.0947589925496737</v>
      </c>
      <c r="D354" s="338">
        <f t="shared" si="136"/>
        <v>0.41913071274698582</v>
      </c>
      <c r="E354" s="338">
        <f t="shared" si="137"/>
        <v>1.0000013385145108</v>
      </c>
      <c r="F354" s="339">
        <f t="shared" si="138"/>
        <v>1.6361619832509109E-3</v>
      </c>
      <c r="G354" s="338">
        <f t="shared" si="139"/>
        <v>1</v>
      </c>
      <c r="H354" s="339">
        <f t="shared" si="140"/>
        <v>0</v>
      </c>
      <c r="I354" s="337">
        <f t="shared" si="141"/>
        <v>200521.65739931038</v>
      </c>
      <c r="J354" s="340">
        <f t="shared" si="142"/>
        <v>1.5707913398024043</v>
      </c>
      <c r="K354" s="348">
        <f t="shared" si="158"/>
        <v>4.7129386962445787</v>
      </c>
      <c r="L354" s="349">
        <f t="shared" si="159"/>
        <v>1.3569892294220536</v>
      </c>
      <c r="M354" s="337">
        <f t="shared" si="143"/>
        <v>1.0003702791078113</v>
      </c>
      <c r="N354" s="340">
        <f t="shared" si="144"/>
        <v>2.7209001759947723E-2</v>
      </c>
      <c r="O354" s="341">
        <f t="shared" si="145"/>
        <v>1.0001492720792025</v>
      </c>
      <c r="P354" s="342">
        <f t="shared" si="146"/>
        <v>4.1118007807747214E-2</v>
      </c>
      <c r="Q354" s="343">
        <f t="shared" si="147"/>
        <v>-0.9394251728152857</v>
      </c>
      <c r="R354" s="344">
        <f t="shared" si="148"/>
        <v>-40.085483625039835</v>
      </c>
      <c r="S354" s="346">
        <f t="shared" si="149"/>
        <v>139.91451637496016</v>
      </c>
      <c r="U354" s="319">
        <f t="shared" si="155"/>
        <v>27702.5</v>
      </c>
      <c r="V354" s="319">
        <f t="shared" si="156"/>
        <v>767428506.25</v>
      </c>
      <c r="X354" s="345">
        <f t="shared" si="150"/>
        <v>5.1266188945050821</v>
      </c>
      <c r="Y354" s="346">
        <f t="shared" si="151"/>
        <v>-13.80891955717229</v>
      </c>
      <c r="AA354" s="345">
        <f t="shared" si="152"/>
        <v>32.151922946025891</v>
      </c>
      <c r="AB354" s="346">
        <f t="shared" si="153"/>
        <v>-26.276564067867543</v>
      </c>
      <c r="AD354">
        <f t="shared" si="157"/>
        <v>0</v>
      </c>
      <c r="AE354">
        <f t="shared" si="160"/>
        <v>0</v>
      </c>
    </row>
    <row r="355" spans="1:31" x14ac:dyDescent="0.2">
      <c r="A355" s="347">
        <v>27863</v>
      </c>
      <c r="B355" s="364">
        <f t="shared" si="154"/>
        <v>27.863</v>
      </c>
      <c r="C355" s="337">
        <f t="shared" si="135"/>
        <v>1.0958120195288596</v>
      </c>
      <c r="D355" s="338">
        <f t="shared" si="136"/>
        <v>0.42128239965030628</v>
      </c>
      <c r="E355" s="338">
        <f t="shared" si="137"/>
        <v>1.0000013540693355</v>
      </c>
      <c r="F355" s="339">
        <f t="shared" si="138"/>
        <v>1.6456413993890229E-3</v>
      </c>
      <c r="G355" s="338">
        <f t="shared" si="139"/>
        <v>1</v>
      </c>
      <c r="H355" s="339">
        <f t="shared" si="140"/>
        <v>0</v>
      </c>
      <c r="I355" s="337">
        <f t="shared" si="141"/>
        <v>201683.41991214463</v>
      </c>
      <c r="J355" s="340">
        <f t="shared" si="142"/>
        <v>1.5707913685291133</v>
      </c>
      <c r="K355" s="348">
        <f t="shared" si="158"/>
        <v>4.7390181175412822</v>
      </c>
      <c r="L355" s="349">
        <f t="shared" si="159"/>
        <v>1.3581839454443521</v>
      </c>
      <c r="M355" s="337">
        <f t="shared" si="143"/>
        <v>1.0003745813041693</v>
      </c>
      <c r="N355" s="340">
        <f t="shared" si="144"/>
        <v>2.7366564109165506E-2</v>
      </c>
      <c r="O355" s="341">
        <f t="shared" si="145"/>
        <v>1.0001510094820552</v>
      </c>
      <c r="P355" s="342">
        <f t="shared" si="146"/>
        <v>4.1356296882011402E-2</v>
      </c>
      <c r="Q355" s="343">
        <f t="shared" si="147"/>
        <v>-0.95007491148306666</v>
      </c>
      <c r="R355" s="344">
        <f t="shared" si="148"/>
        <v>-40.162453148989236</v>
      </c>
      <c r="S355" s="346">
        <f t="shared" si="149"/>
        <v>139.83754685101076</v>
      </c>
      <c r="U355" s="319">
        <f t="shared" si="155"/>
        <v>27863</v>
      </c>
      <c r="V355" s="319">
        <f t="shared" si="156"/>
        <v>776346769</v>
      </c>
      <c r="X355" s="345">
        <f t="shared" si="150"/>
        <v>5.1243348788850662</v>
      </c>
      <c r="Y355" s="346">
        <f t="shared" si="151"/>
        <v>-13.749496674849562</v>
      </c>
      <c r="AA355" s="345">
        <f t="shared" si="152"/>
        <v>32.143557222978131</v>
      </c>
      <c r="AB355" s="346">
        <f t="shared" si="153"/>
        <v>-26.412956474139687</v>
      </c>
      <c r="AD355">
        <f t="shared" si="157"/>
        <v>0</v>
      </c>
      <c r="AE355">
        <f t="shared" si="160"/>
        <v>0</v>
      </c>
    </row>
    <row r="356" spans="1:31" x14ac:dyDescent="0.2">
      <c r="A356" s="347">
        <v>28023.5</v>
      </c>
      <c r="B356" s="364">
        <f t="shared" si="154"/>
        <v>28.023499999999999</v>
      </c>
      <c r="C356" s="337">
        <f t="shared" si="135"/>
        <v>1.0968701100961009</v>
      </c>
      <c r="D356" s="338">
        <f t="shared" si="136"/>
        <v>0.42342994525109307</v>
      </c>
      <c r="E356" s="338">
        <f t="shared" si="137"/>
        <v>1.00000136971402</v>
      </c>
      <c r="F356" s="339">
        <f t="shared" si="138"/>
        <v>1.6551208152313823E-3</v>
      </c>
      <c r="G356" s="338">
        <f t="shared" si="139"/>
        <v>1</v>
      </c>
      <c r="H356" s="339">
        <f t="shared" si="140"/>
        <v>0</v>
      </c>
      <c r="I356" s="337">
        <f t="shared" si="141"/>
        <v>202845.18242497905</v>
      </c>
      <c r="J356" s="340">
        <f t="shared" si="142"/>
        <v>1.5707913969267675</v>
      </c>
      <c r="K356" s="348">
        <f t="shared" si="158"/>
        <v>4.765104229011544</v>
      </c>
      <c r="L356" s="349">
        <f t="shared" si="159"/>
        <v>1.3593655824186421</v>
      </c>
      <c r="M356" s="337">
        <f t="shared" si="143"/>
        <v>1.0003789083355066</v>
      </c>
      <c r="N356" s="340">
        <f t="shared" si="144"/>
        <v>2.7524125099256874E-2</v>
      </c>
      <c r="O356" s="341">
        <f t="shared" si="145"/>
        <v>1.0001527569847724</v>
      </c>
      <c r="P356" s="342">
        <f t="shared" si="146"/>
        <v>4.1594587057746678E-2</v>
      </c>
      <c r="Q356" s="343">
        <f t="shared" si="147"/>
        <v>-0.96071967087834675</v>
      </c>
      <c r="R356" s="344">
        <f t="shared" si="148"/>
        <v>-40.239934734434222</v>
      </c>
      <c r="S356" s="346">
        <f t="shared" si="149"/>
        <v>139.76006526556577</v>
      </c>
      <c r="U356" s="319">
        <f t="shared" si="155"/>
        <v>28023.5</v>
      </c>
      <c r="V356" s="319">
        <f t="shared" si="156"/>
        <v>785316552.25</v>
      </c>
      <c r="X356" s="345">
        <f t="shared" si="150"/>
        <v>5.1220880061842209</v>
      </c>
      <c r="Y356" s="346">
        <f t="shared" si="151"/>
        <v>-13.690823070052952</v>
      </c>
      <c r="AA356" s="345">
        <f t="shared" si="152"/>
        <v>32.135159336283692</v>
      </c>
      <c r="AB356" s="346">
        <f t="shared" si="153"/>
        <v>-26.549111664381279</v>
      </c>
      <c r="AD356">
        <f t="shared" si="157"/>
        <v>0</v>
      </c>
      <c r="AE356">
        <f t="shared" si="160"/>
        <v>0</v>
      </c>
    </row>
    <row r="357" spans="1:31" x14ac:dyDescent="0.2">
      <c r="A357" s="347">
        <v>28184</v>
      </c>
      <c r="B357" s="364">
        <f t="shared" si="154"/>
        <v>28.184000000000001</v>
      </c>
      <c r="C357" s="337">
        <f t="shared" si="135"/>
        <v>1.0979332496118881</v>
      </c>
      <c r="D357" s="338">
        <f t="shared" si="136"/>
        <v>0.42557334174234385</v>
      </c>
      <c r="E357" s="338">
        <f t="shared" si="137"/>
        <v>1.0000013854485637</v>
      </c>
      <c r="F357" s="339">
        <f t="shared" si="138"/>
        <v>1.6646002307762853E-3</v>
      </c>
      <c r="G357" s="338">
        <f t="shared" si="139"/>
        <v>1</v>
      </c>
      <c r="H357" s="339">
        <f t="shared" si="140"/>
        <v>0</v>
      </c>
      <c r="I357" s="337">
        <f t="shared" si="141"/>
        <v>204006.94493781365</v>
      </c>
      <c r="J357" s="340">
        <f t="shared" si="142"/>
        <v>1.570791425000988</v>
      </c>
      <c r="K357" s="348">
        <f t="shared" si="158"/>
        <v>4.791196921379572</v>
      </c>
      <c r="L357" s="349">
        <f t="shared" si="159"/>
        <v>1.360534350702054</v>
      </c>
      <c r="M357" s="337">
        <f t="shared" si="143"/>
        <v>1.000383260201501</v>
      </c>
      <c r="N357" s="340">
        <f t="shared" si="144"/>
        <v>2.7681684722416465E-2</v>
      </c>
      <c r="O357" s="341">
        <f t="shared" si="145"/>
        <v>1.0001545145884418</v>
      </c>
      <c r="P357" s="342">
        <f t="shared" si="146"/>
        <v>4.1832878341258484E-2</v>
      </c>
      <c r="Q357" s="343">
        <f t="shared" si="147"/>
        <v>-0.97136005242598178</v>
      </c>
      <c r="R357" s="344">
        <f t="shared" si="148"/>
        <v>-40.317915881726982</v>
      </c>
      <c r="S357" s="346">
        <f t="shared" si="149"/>
        <v>139.68208411827302</v>
      </c>
      <c r="U357" s="319">
        <f t="shared" si="155"/>
        <v>28184</v>
      </c>
      <c r="V357" s="319">
        <f t="shared" si="156"/>
        <v>794337856</v>
      </c>
      <c r="X357" s="345">
        <f t="shared" si="150"/>
        <v>5.1198774586365428</v>
      </c>
      <c r="Y357" s="346">
        <f t="shared" si="151"/>
        <v>-13.632886690081564</v>
      </c>
      <c r="AA357" s="345">
        <f t="shared" si="152"/>
        <v>32.126729502283737</v>
      </c>
      <c r="AB357" s="346">
        <f t="shared" si="153"/>
        <v>-26.685029191645413</v>
      </c>
      <c r="AD357">
        <f t="shared" si="157"/>
        <v>0</v>
      </c>
      <c r="AE357">
        <f t="shared" si="160"/>
        <v>0</v>
      </c>
    </row>
    <row r="358" spans="1:31" x14ac:dyDescent="0.2">
      <c r="A358" s="347">
        <v>28348</v>
      </c>
      <c r="B358" s="364">
        <f t="shared" si="154"/>
        <v>28.347999999999999</v>
      </c>
      <c r="C358" s="337">
        <f t="shared" si="135"/>
        <v>1.0990247729115414</v>
      </c>
      <c r="D358" s="338">
        <f t="shared" si="136"/>
        <v>0.42775918522064776</v>
      </c>
      <c r="E358" s="338">
        <f t="shared" si="137"/>
        <v>1.0000014016190486</v>
      </c>
      <c r="F358" s="339">
        <f t="shared" si="138"/>
        <v>1.6742863622389945E-3</v>
      </c>
      <c r="G358" s="338">
        <f t="shared" si="139"/>
        <v>1</v>
      </c>
      <c r="H358" s="339">
        <f t="shared" si="140"/>
        <v>0</v>
      </c>
      <c r="I358" s="337">
        <f t="shared" si="141"/>
        <v>205194.04183566349</v>
      </c>
      <c r="J358" s="340">
        <f t="shared" si="142"/>
        <v>1.570791453359045</v>
      </c>
      <c r="K358" s="348">
        <f t="shared" si="158"/>
        <v>4.8178652997464031</v>
      </c>
      <c r="L358" s="349">
        <f t="shared" si="159"/>
        <v>1.3617155277030579</v>
      </c>
      <c r="M358" s="337">
        <f t="shared" si="143"/>
        <v>1.000387732620573</v>
      </c>
      <c r="N358" s="340">
        <f t="shared" si="144"/>
        <v>2.7842678805118592E-2</v>
      </c>
      <c r="O358" s="341">
        <f t="shared" si="145"/>
        <v>1.0001563209548141</v>
      </c>
      <c r="P358" s="342">
        <f t="shared" si="146"/>
        <v>4.2076367158735313E-2</v>
      </c>
      <c r="Q358" s="343">
        <f t="shared" si="147"/>
        <v>-0.98222854797740911</v>
      </c>
      <c r="R358" s="344">
        <f t="shared" si="148"/>
        <v>-40.398100844195994</v>
      </c>
      <c r="S358" s="346">
        <f t="shared" si="149"/>
        <v>139.60189915580401</v>
      </c>
      <c r="U358" s="319">
        <f t="shared" si="155"/>
        <v>28348</v>
      </c>
      <c r="V358" s="319">
        <f t="shared" si="156"/>
        <v>803609104</v>
      </c>
      <c r="X358" s="345">
        <f t="shared" si="150"/>
        <v>5.1176554002592978</v>
      </c>
      <c r="Y358" s="346">
        <f t="shared" si="151"/>
        <v>-13.574436139261733</v>
      </c>
      <c r="AA358" s="345">
        <f t="shared" si="152"/>
        <v>32.118083065109552</v>
      </c>
      <c r="AB358" s="346">
        <f t="shared" si="153"/>
        <v>-26.82366470493427</v>
      </c>
      <c r="AD358">
        <f t="shared" si="157"/>
        <v>0</v>
      </c>
      <c r="AE358">
        <f t="shared" si="160"/>
        <v>0</v>
      </c>
    </row>
    <row r="359" spans="1:31" x14ac:dyDescent="0.2">
      <c r="A359" s="347">
        <v>28512</v>
      </c>
      <c r="B359" s="364">
        <f t="shared" si="154"/>
        <v>28.512</v>
      </c>
      <c r="C359" s="337">
        <f t="shared" si="135"/>
        <v>1.1001215368199049</v>
      </c>
      <c r="D359" s="338">
        <f t="shared" si="136"/>
        <v>0.42994068076033082</v>
      </c>
      <c r="E359" s="338">
        <f t="shared" si="137"/>
        <v>1.0000014178833545</v>
      </c>
      <c r="F359" s="339">
        <f t="shared" si="138"/>
        <v>1.6839724933875367E-3</v>
      </c>
      <c r="G359" s="338">
        <f t="shared" si="139"/>
        <v>1</v>
      </c>
      <c r="H359" s="339">
        <f t="shared" si="140"/>
        <v>0</v>
      </c>
      <c r="I359" s="337">
        <f t="shared" si="141"/>
        <v>206381.13873351348</v>
      </c>
      <c r="J359" s="340">
        <f t="shared" si="142"/>
        <v>1.570791481390873</v>
      </c>
      <c r="K359" s="348">
        <f t="shared" si="158"/>
        <v>4.8445403258882216</v>
      </c>
      <c r="L359" s="349">
        <f t="shared" si="159"/>
        <v>1.3628836987164672</v>
      </c>
      <c r="M359" s="337">
        <f t="shared" si="143"/>
        <v>1.0003922309685573</v>
      </c>
      <c r="N359" s="340">
        <f t="shared" si="144"/>
        <v>2.8003671444146543E-2</v>
      </c>
      <c r="O359" s="341">
        <f t="shared" si="145"/>
        <v>1.0001581378697977</v>
      </c>
      <c r="P359" s="342">
        <f t="shared" si="146"/>
        <v>4.2319857146138042E-2</v>
      </c>
      <c r="Q359" s="343">
        <f t="shared" si="147"/>
        <v>-0.99309367309928565</v>
      </c>
      <c r="R359" s="344">
        <f t="shared" si="148"/>
        <v>-40.478781841972427</v>
      </c>
      <c r="S359" s="346">
        <f t="shared" si="149"/>
        <v>139.52121815802758</v>
      </c>
      <c r="U359" s="319">
        <f t="shared" si="155"/>
        <v>28512</v>
      </c>
      <c r="V359" s="319">
        <f t="shared" si="156"/>
        <v>812934144</v>
      </c>
      <c r="X359" s="345">
        <f t="shared" si="150"/>
        <v>5.1154696121049534</v>
      </c>
      <c r="Y359" s="346">
        <f t="shared" si="151"/>
        <v>-13.516730675232324</v>
      </c>
      <c r="AA359" s="345">
        <f t="shared" si="152"/>
        <v>32.10940372814202</v>
      </c>
      <c r="AB359" s="346">
        <f t="shared" si="153"/>
        <v>-26.962051166740103</v>
      </c>
      <c r="AD359">
        <f t="shared" si="157"/>
        <v>0</v>
      </c>
      <c r="AE359">
        <f t="shared" si="160"/>
        <v>0</v>
      </c>
    </row>
    <row r="360" spans="1:31" x14ac:dyDescent="0.2">
      <c r="A360" s="347">
        <v>28676</v>
      </c>
      <c r="B360" s="364">
        <f t="shared" si="154"/>
        <v>28.675999999999998</v>
      </c>
      <c r="C360" s="337">
        <f t="shared" si="135"/>
        <v>1.1012235256788208</v>
      </c>
      <c r="D360" s="338">
        <f t="shared" si="136"/>
        <v>0.43211782062032766</v>
      </c>
      <c r="E360" s="338">
        <f t="shared" si="137"/>
        <v>1.0000014342414818</v>
      </c>
      <c r="F360" s="339">
        <f t="shared" si="138"/>
        <v>1.6936586242200942E-3</v>
      </c>
      <c r="G360" s="338">
        <f t="shared" si="139"/>
        <v>1</v>
      </c>
      <c r="H360" s="339">
        <f t="shared" si="140"/>
        <v>0</v>
      </c>
      <c r="I360" s="337">
        <f t="shared" si="141"/>
        <v>207568.23563136364</v>
      </c>
      <c r="J360" s="340">
        <f t="shared" si="142"/>
        <v>1.5707915091020692</v>
      </c>
      <c r="K360" s="348">
        <f t="shared" si="158"/>
        <v>4.8712218905944979</v>
      </c>
      <c r="L360" s="349">
        <f t="shared" si="159"/>
        <v>1.3640390742440431</v>
      </c>
      <c r="M360" s="337">
        <f t="shared" si="143"/>
        <v>1.0003967552451039</v>
      </c>
      <c r="N360" s="340">
        <f t="shared" si="144"/>
        <v>2.8164662631174443E-2</v>
      </c>
      <c r="O360" s="341">
        <f t="shared" si="145"/>
        <v>1.0001599653345725</v>
      </c>
      <c r="P360" s="342">
        <f t="shared" si="146"/>
        <v>4.2563348310191505E-2</v>
      </c>
      <c r="Q360" s="343">
        <f t="shared" si="147"/>
        <v>-1.0039560009152591</v>
      </c>
      <c r="R360" s="344">
        <f t="shared" si="148"/>
        <v>-40.559946370892455</v>
      </c>
      <c r="S360" s="346">
        <f t="shared" si="149"/>
        <v>139.44005362910755</v>
      </c>
      <c r="U360" s="319">
        <f t="shared" si="155"/>
        <v>28676</v>
      </c>
      <c r="V360" s="319">
        <f t="shared" si="156"/>
        <v>822312976</v>
      </c>
      <c r="X360" s="345">
        <f t="shared" si="150"/>
        <v>5.1133192909207708</v>
      </c>
      <c r="Y360" s="346">
        <f t="shared" si="151"/>
        <v>-13.459758236974514</v>
      </c>
      <c r="AA360" s="345">
        <f t="shared" si="152"/>
        <v>32.100691721510238</v>
      </c>
      <c r="AB360" s="346">
        <f t="shared" si="153"/>
        <v>-27.100188133917939</v>
      </c>
      <c r="AD360">
        <f t="shared" si="157"/>
        <v>0</v>
      </c>
      <c r="AE360">
        <f t="shared" si="160"/>
        <v>0</v>
      </c>
    </row>
    <row r="361" spans="1:31" x14ac:dyDescent="0.2">
      <c r="A361" s="347">
        <v>28840</v>
      </c>
      <c r="B361" s="364">
        <f t="shared" si="154"/>
        <v>28.84</v>
      </c>
      <c r="C361" s="337">
        <f t="shared" si="135"/>
        <v>1.1023307238182989</v>
      </c>
      <c r="D361" s="338">
        <f t="shared" si="136"/>
        <v>0.43429059725561814</v>
      </c>
      <c r="E361" s="338">
        <f t="shared" si="137"/>
        <v>1.0000014506934305</v>
      </c>
      <c r="F361" s="339">
        <f t="shared" si="138"/>
        <v>1.7033447547348494E-3</v>
      </c>
      <c r="G361" s="338">
        <f t="shared" si="139"/>
        <v>1</v>
      </c>
      <c r="H361" s="339">
        <f t="shared" si="140"/>
        <v>0</v>
      </c>
      <c r="I361" s="337">
        <f t="shared" si="141"/>
        <v>208755.33252921401</v>
      </c>
      <c r="J361" s="340">
        <f t="shared" si="142"/>
        <v>1.5707915364981033</v>
      </c>
      <c r="K361" s="348">
        <f t="shared" si="158"/>
        <v>4.8979098870079429</v>
      </c>
      <c r="L361" s="349">
        <f t="shared" si="159"/>
        <v>1.365181860337912</v>
      </c>
      <c r="M361" s="337">
        <f t="shared" si="143"/>
        <v>1.0004013054498608</v>
      </c>
      <c r="N361" s="340">
        <f t="shared" si="144"/>
        <v>2.8325652357876843E-2</v>
      </c>
      <c r="O361" s="341">
        <f t="shared" si="145"/>
        <v>1.0001618033503259</v>
      </c>
      <c r="P361" s="342">
        <f t="shared" si="146"/>
        <v>4.280684065761977E-2</v>
      </c>
      <c r="Q361" s="343">
        <f t="shared" si="147"/>
        <v>-1.0148160829781152</v>
      </c>
      <c r="R361" s="344">
        <f t="shared" si="148"/>
        <v>-40.641582192962801</v>
      </c>
      <c r="S361" s="346">
        <f t="shared" si="149"/>
        <v>139.3584178070372</v>
      </c>
      <c r="U361" s="319">
        <f t="shared" si="155"/>
        <v>28840</v>
      </c>
      <c r="V361" s="319">
        <f t="shared" si="156"/>
        <v>831745600</v>
      </c>
      <c r="X361" s="345">
        <f t="shared" si="150"/>
        <v>5.1112036552804776</v>
      </c>
      <c r="Y361" s="346">
        <f t="shared" si="151"/>
        <v>-13.403507018407447</v>
      </c>
      <c r="AA361" s="345">
        <f t="shared" si="152"/>
        <v>32.091947275087669</v>
      </c>
      <c r="AB361" s="346">
        <f t="shared" si="153"/>
        <v>-27.238075174555345</v>
      </c>
      <c r="AD361">
        <f t="shared" si="157"/>
        <v>0</v>
      </c>
      <c r="AE361">
        <f t="shared" si="160"/>
        <v>0</v>
      </c>
    </row>
    <row r="362" spans="1:31" x14ac:dyDescent="0.2">
      <c r="A362" s="347">
        <v>29008</v>
      </c>
      <c r="B362" s="364">
        <f t="shared" si="154"/>
        <v>29.007999999999999</v>
      </c>
      <c r="C362" s="337">
        <f t="shared" si="135"/>
        <v>1.1034703118122637</v>
      </c>
      <c r="D362" s="338">
        <f t="shared" si="136"/>
        <v>0.43651183660847048</v>
      </c>
      <c r="E362" s="338">
        <f t="shared" si="137"/>
        <v>1.0000014676439277</v>
      </c>
      <c r="F362" s="339">
        <f t="shared" si="138"/>
        <v>1.713267132003907E-3</v>
      </c>
      <c r="G362" s="338">
        <f t="shared" si="139"/>
        <v>1</v>
      </c>
      <c r="H362" s="339">
        <f t="shared" si="140"/>
        <v>0</v>
      </c>
      <c r="I362" s="337">
        <f t="shared" si="141"/>
        <v>209971.38300993887</v>
      </c>
      <c r="J362" s="340">
        <f t="shared" si="142"/>
        <v>1.570791564241135</v>
      </c>
      <c r="K362" s="348">
        <f t="shared" si="158"/>
        <v>4.9252553697994657</v>
      </c>
      <c r="L362" s="349">
        <f t="shared" si="159"/>
        <v>1.3663396763268634</v>
      </c>
      <c r="M362" s="337">
        <f t="shared" si="143"/>
        <v>1.0004059935193679</v>
      </c>
      <c r="N362" s="340">
        <f t="shared" si="144"/>
        <v>2.8490567140390704E-2</v>
      </c>
      <c r="O362" s="341">
        <f t="shared" si="145"/>
        <v>1.0001636971371082</v>
      </c>
      <c r="P362" s="342">
        <f t="shared" si="146"/>
        <v>4.3056273076839124E-2</v>
      </c>
      <c r="Q362" s="343">
        <f t="shared" si="147"/>
        <v>-1.0259392711251589</v>
      </c>
      <c r="R362" s="344">
        <f t="shared" si="148"/>
        <v>-40.725685288776781</v>
      </c>
      <c r="S362" s="346">
        <f t="shared" si="149"/>
        <v>139.27431471122321</v>
      </c>
      <c r="U362" s="319">
        <f t="shared" si="155"/>
        <v>29008</v>
      </c>
      <c r="V362" s="319">
        <f t="shared" si="156"/>
        <v>841464064</v>
      </c>
      <c r="X362" s="345">
        <f t="shared" si="150"/>
        <v>5.1090715889920091</v>
      </c>
      <c r="Y362" s="346">
        <f t="shared" si="151"/>
        <v>-13.346619559298761</v>
      </c>
      <c r="AA362" s="345">
        <f t="shared" si="152"/>
        <v>32.082956153229091</v>
      </c>
      <c r="AB362" s="346">
        <f t="shared" si="153"/>
        <v>-27.379065729478011</v>
      </c>
      <c r="AD362">
        <f t="shared" si="157"/>
        <v>0</v>
      </c>
      <c r="AE362">
        <f t="shared" si="160"/>
        <v>0</v>
      </c>
    </row>
    <row r="363" spans="1:31" x14ac:dyDescent="0.2">
      <c r="A363" s="347">
        <v>29176</v>
      </c>
      <c r="B363" s="364">
        <f t="shared" si="154"/>
        <v>29.175999999999998</v>
      </c>
      <c r="C363" s="337">
        <f t="shared" si="135"/>
        <v>1.104615332973873</v>
      </c>
      <c r="D363" s="338">
        <f t="shared" si="136"/>
        <v>0.438728481898638</v>
      </c>
      <c r="E363" s="338">
        <f t="shared" si="137"/>
        <v>1.0000014846928789</v>
      </c>
      <c r="F363" s="339">
        <f t="shared" si="138"/>
        <v>1.7231895089356096E-3</v>
      </c>
      <c r="G363" s="338">
        <f t="shared" si="139"/>
        <v>1</v>
      </c>
      <c r="H363" s="339">
        <f t="shared" si="140"/>
        <v>0</v>
      </c>
      <c r="I363" s="337">
        <f t="shared" si="141"/>
        <v>211187.43349066391</v>
      </c>
      <c r="J363" s="340">
        <f t="shared" si="142"/>
        <v>1.5707915916646691</v>
      </c>
      <c r="K363" s="348">
        <f t="shared" si="158"/>
        <v>4.9526073821667662</v>
      </c>
      <c r="L363" s="349">
        <f t="shared" si="159"/>
        <v>1.3674847051801917</v>
      </c>
      <c r="M363" s="337">
        <f t="shared" si="143"/>
        <v>1.0004107087965464</v>
      </c>
      <c r="N363" s="340">
        <f t="shared" si="144"/>
        <v>2.865548037279032E-2</v>
      </c>
      <c r="O363" s="341">
        <f t="shared" si="145"/>
        <v>1.0001656019983716</v>
      </c>
      <c r="P363" s="342">
        <f t="shared" si="146"/>
        <v>4.3305706752144672E-2</v>
      </c>
      <c r="Q363" s="343">
        <f t="shared" si="147"/>
        <v>-1.0370612080033519</v>
      </c>
      <c r="R363" s="344">
        <f t="shared" si="148"/>
        <v>-40.810257777958796</v>
      </c>
      <c r="S363" s="346">
        <f t="shared" si="149"/>
        <v>139.18974222204122</v>
      </c>
      <c r="U363" s="319">
        <f t="shared" si="155"/>
        <v>29176</v>
      </c>
      <c r="V363" s="319">
        <f t="shared" si="156"/>
        <v>851238976</v>
      </c>
      <c r="X363" s="345">
        <f t="shared" si="150"/>
        <v>5.1069743280405975</v>
      </c>
      <c r="Y363" s="346">
        <f t="shared" si="151"/>
        <v>-13.290464641973292</v>
      </c>
      <c r="AA363" s="345">
        <f t="shared" si="152"/>
        <v>32.07393147730231</v>
      </c>
      <c r="AB363" s="346">
        <f t="shared" si="153"/>
        <v>-27.519793135985488</v>
      </c>
      <c r="AD363">
        <f t="shared" si="157"/>
        <v>0</v>
      </c>
      <c r="AE363">
        <f t="shared" si="160"/>
        <v>0</v>
      </c>
    </row>
    <row r="364" spans="1:31" x14ac:dyDescent="0.2">
      <c r="A364" s="347">
        <v>29344</v>
      </c>
      <c r="B364" s="364">
        <f t="shared" si="154"/>
        <v>29.344000000000001</v>
      </c>
      <c r="C364" s="337">
        <f t="shared" si="135"/>
        <v>1.1057657704249815</v>
      </c>
      <c r="D364" s="338">
        <f t="shared" si="136"/>
        <v>0.44094052564843728</v>
      </c>
      <c r="E364" s="338">
        <f t="shared" si="137"/>
        <v>1.0000015018402835</v>
      </c>
      <c r="F364" s="339">
        <f t="shared" si="138"/>
        <v>1.7331118855280034E-3</v>
      </c>
      <c r="G364" s="338">
        <f t="shared" si="139"/>
        <v>1</v>
      </c>
      <c r="H364" s="339">
        <f t="shared" si="140"/>
        <v>0</v>
      </c>
      <c r="I364" s="337">
        <f t="shared" si="141"/>
        <v>212403.4839713891</v>
      </c>
      <c r="J364" s="340">
        <f t="shared" si="142"/>
        <v>1.5707916187741933</v>
      </c>
      <c r="K364" s="348">
        <f t="shared" si="158"/>
        <v>4.9799658165205276</v>
      </c>
      <c r="L364" s="349">
        <f t="shared" si="159"/>
        <v>1.3686171546164498</v>
      </c>
      <c r="M364" s="337">
        <f t="shared" si="143"/>
        <v>1.0004154512810124</v>
      </c>
      <c r="N364" s="340">
        <f t="shared" si="144"/>
        <v>2.8820392046127595E-2</v>
      </c>
      <c r="O364" s="341">
        <f t="shared" si="145"/>
        <v>1.0001675179354139</v>
      </c>
      <c r="P364" s="342">
        <f t="shared" si="146"/>
        <v>4.3555141690762106E-2</v>
      </c>
      <c r="Q364" s="343">
        <f t="shared" si="147"/>
        <v>-1.0481824207126853</v>
      </c>
      <c r="R364" s="344">
        <f t="shared" si="148"/>
        <v>-40.895287330888578</v>
      </c>
      <c r="S364" s="346">
        <f t="shared" si="149"/>
        <v>139.10471266911142</v>
      </c>
      <c r="U364" s="319">
        <f t="shared" si="155"/>
        <v>29344</v>
      </c>
      <c r="V364" s="319">
        <f t="shared" si="156"/>
        <v>861070336</v>
      </c>
      <c r="X364" s="345">
        <f t="shared" si="150"/>
        <v>5.104911099143326</v>
      </c>
      <c r="Y364" s="346">
        <f t="shared" si="151"/>
        <v>-13.235030364836378</v>
      </c>
      <c r="AA364" s="345">
        <f t="shared" si="152"/>
        <v>32.064873493490246</v>
      </c>
      <c r="AB364" s="346">
        <f t="shared" si="153"/>
        <v>-27.660256966052181</v>
      </c>
      <c r="AD364">
        <f t="shared" si="157"/>
        <v>0</v>
      </c>
      <c r="AE364">
        <f t="shared" si="160"/>
        <v>0</v>
      </c>
    </row>
    <row r="365" spans="1:31" x14ac:dyDescent="0.2">
      <c r="A365" s="347">
        <v>29512</v>
      </c>
      <c r="B365" s="364">
        <f t="shared" si="154"/>
        <v>29.512</v>
      </c>
      <c r="C365" s="337">
        <f t="shared" si="135"/>
        <v>1.1069216072779371</v>
      </c>
      <c r="D365" s="338">
        <f t="shared" si="136"/>
        <v>0.44314796059132461</v>
      </c>
      <c r="E365" s="338">
        <f t="shared" si="137"/>
        <v>1.000001519086142</v>
      </c>
      <c r="F365" s="339">
        <f t="shared" si="138"/>
        <v>1.7430342617791349E-3</v>
      </c>
      <c r="G365" s="338">
        <f t="shared" si="139"/>
        <v>1</v>
      </c>
      <c r="H365" s="339">
        <f t="shared" si="140"/>
        <v>0</v>
      </c>
      <c r="I365" s="337">
        <f t="shared" si="141"/>
        <v>213619.53445211446</v>
      </c>
      <c r="J365" s="340">
        <f t="shared" si="142"/>
        <v>1.5707916455750701</v>
      </c>
      <c r="K365" s="348">
        <f t="shared" si="158"/>
        <v>5.0073305675977844</v>
      </c>
      <c r="L365" s="349">
        <f t="shared" si="159"/>
        <v>1.369737227944178</v>
      </c>
      <c r="M365" s="337">
        <f t="shared" si="143"/>
        <v>1.0004202209723783</v>
      </c>
      <c r="N365" s="340">
        <f t="shared" si="144"/>
        <v>2.8985302151454929E-2</v>
      </c>
      <c r="O365" s="341">
        <f t="shared" si="145"/>
        <v>1.0001694449495413</v>
      </c>
      <c r="P365" s="342">
        <f t="shared" si="146"/>
        <v>4.3804577899916243E-2</v>
      </c>
      <c r="Q365" s="343">
        <f t="shared" si="147"/>
        <v>-1.0593034156212227</v>
      </c>
      <c r="R365" s="344">
        <f t="shared" si="148"/>
        <v>-40.98076188271115</v>
      </c>
      <c r="S365" s="346">
        <f t="shared" si="149"/>
        <v>139.01923811728886</v>
      </c>
      <c r="U365" s="319">
        <f t="shared" si="155"/>
        <v>29512</v>
      </c>
      <c r="V365" s="319">
        <f t="shared" si="156"/>
        <v>870958144</v>
      </c>
      <c r="X365" s="345">
        <f t="shared" si="150"/>
        <v>5.1028811500907532</v>
      </c>
      <c r="Y365" s="346">
        <f t="shared" si="151"/>
        <v>-13.180305078961299</v>
      </c>
      <c r="AA365" s="345">
        <f t="shared" si="152"/>
        <v>32.055782447634286</v>
      </c>
      <c r="AB365" s="346">
        <f t="shared" si="153"/>
        <v>-27.800456803749874</v>
      </c>
      <c r="AD365">
        <f t="shared" si="157"/>
        <v>0</v>
      </c>
      <c r="AE365">
        <f t="shared" si="160"/>
        <v>0</v>
      </c>
    </row>
    <row r="366" spans="1:31" x14ac:dyDescent="0.2">
      <c r="A366" s="347">
        <v>29684</v>
      </c>
      <c r="B366" s="364">
        <f t="shared" si="154"/>
        <v>29.684000000000001</v>
      </c>
      <c r="C366" s="337">
        <f t="shared" si="135"/>
        <v>1.1081105401805469</v>
      </c>
      <c r="D366" s="338">
        <f t="shared" si="136"/>
        <v>0.44540317142815122</v>
      </c>
      <c r="E366" s="338">
        <f t="shared" si="137"/>
        <v>1.0000015368446138</v>
      </c>
      <c r="F366" s="339">
        <f t="shared" si="138"/>
        <v>1.7531928847282776E-3</v>
      </c>
      <c r="G366" s="338">
        <f t="shared" si="139"/>
        <v>1</v>
      </c>
      <c r="H366" s="339">
        <f t="shared" si="140"/>
        <v>0</v>
      </c>
      <c r="I366" s="337">
        <f t="shared" si="141"/>
        <v>214864.53851571435</v>
      </c>
      <c r="J366" s="340">
        <f t="shared" si="142"/>
        <v>1.5707916726997775</v>
      </c>
      <c r="K366" s="348">
        <f t="shared" si="158"/>
        <v>5.0353532969392623</v>
      </c>
      <c r="L366" s="349">
        <f t="shared" si="159"/>
        <v>1.3708713558514813</v>
      </c>
      <c r="M366" s="337">
        <f t="shared" si="143"/>
        <v>1.0004251324137048</v>
      </c>
      <c r="N366" s="340">
        <f t="shared" si="144"/>
        <v>2.9154137054064031E-2</v>
      </c>
      <c r="O366" s="341">
        <f t="shared" si="145"/>
        <v>1.0001714293221637</v>
      </c>
      <c r="P366" s="342">
        <f t="shared" si="146"/>
        <v>4.4059954390247784E-2</v>
      </c>
      <c r="Q366" s="343">
        <f t="shared" si="147"/>
        <v>-1.0706894781978773</v>
      </c>
      <c r="R366" s="344">
        <f t="shared" si="148"/>
        <v>-41.068720233504997</v>
      </c>
      <c r="S366" s="346">
        <f t="shared" si="149"/>
        <v>138.93127976649501</v>
      </c>
      <c r="U366" s="319">
        <f t="shared" si="155"/>
        <v>29684</v>
      </c>
      <c r="V366" s="319">
        <f t="shared" si="156"/>
        <v>881139856</v>
      </c>
      <c r="X366" s="345">
        <f t="shared" si="150"/>
        <v>5.1008365827072115</v>
      </c>
      <c r="Y366" s="346">
        <f t="shared" si="151"/>
        <v>-13.124999417866865</v>
      </c>
      <c r="AA366" s="345">
        <f t="shared" si="152"/>
        <v>32.046440952441174</v>
      </c>
      <c r="AB366" s="346">
        <f t="shared" si="153"/>
        <v>-27.94372081563812</v>
      </c>
      <c r="AD366">
        <f t="shared" si="157"/>
        <v>0</v>
      </c>
      <c r="AE366">
        <f t="shared" si="160"/>
        <v>0</v>
      </c>
    </row>
    <row r="367" spans="1:31" x14ac:dyDescent="0.2">
      <c r="A367" s="347">
        <v>29856</v>
      </c>
      <c r="B367" s="364">
        <f t="shared" si="154"/>
        <v>29.856000000000002</v>
      </c>
      <c r="C367" s="337">
        <f t="shared" si="135"/>
        <v>1.1093050968092339</v>
      </c>
      <c r="D367" s="338">
        <f t="shared" si="136"/>
        <v>0.44765353663637719</v>
      </c>
      <c r="E367" s="338">
        <f t="shared" si="137"/>
        <v>1.0000015547062835</v>
      </c>
      <c r="F367" s="339">
        <f t="shared" si="138"/>
        <v>1.7633515073155694E-3</v>
      </c>
      <c r="G367" s="338">
        <f t="shared" si="139"/>
        <v>1</v>
      </c>
      <c r="H367" s="339">
        <f t="shared" si="140"/>
        <v>0</v>
      </c>
      <c r="I367" s="337">
        <f t="shared" si="141"/>
        <v>216109.54257931444</v>
      </c>
      <c r="J367" s="340">
        <f t="shared" si="142"/>
        <v>1.5707916995119544</v>
      </c>
      <c r="K367" s="348">
        <f t="shared" si="158"/>
        <v>5.0633824312903037</v>
      </c>
      <c r="L367" s="349">
        <f t="shared" si="159"/>
        <v>1.3719929289082402</v>
      </c>
      <c r="M367" s="337">
        <f t="shared" si="143"/>
        <v>1.0004300723720938</v>
      </c>
      <c r="N367" s="340">
        <f t="shared" si="144"/>
        <v>2.9322970294128021E-2</v>
      </c>
      <c r="O367" s="341">
        <f t="shared" si="145"/>
        <v>1.0001734253084251</v>
      </c>
      <c r="P367" s="342">
        <f t="shared" si="146"/>
        <v>4.4315332227661569E-2</v>
      </c>
      <c r="Q367" s="343">
        <f t="shared" si="147"/>
        <v>-1.0820763230451189</v>
      </c>
      <c r="R367" s="344">
        <f t="shared" si="148"/>
        <v>-41.1571202542194</v>
      </c>
      <c r="S367" s="346">
        <f t="shared" si="149"/>
        <v>138.84287974578061</v>
      </c>
      <c r="U367" s="319">
        <f t="shared" si="155"/>
        <v>29856</v>
      </c>
      <c r="V367" s="319">
        <f t="shared" si="156"/>
        <v>891380736</v>
      </c>
      <c r="X367" s="345">
        <f t="shared" si="150"/>
        <v>5.0988253678725615</v>
      </c>
      <c r="Y367" s="346">
        <f t="shared" si="151"/>
        <v>-13.070412983558384</v>
      </c>
      <c r="AA367" s="345">
        <f t="shared" si="152"/>
        <v>32.037065322428582</v>
      </c>
      <c r="AB367" s="346">
        <f t="shared" si="153"/>
        <v>-28.086707270661005</v>
      </c>
      <c r="AD367">
        <f t="shared" si="157"/>
        <v>0</v>
      </c>
      <c r="AE367">
        <f t="shared" si="160"/>
        <v>0</v>
      </c>
    </row>
    <row r="368" spans="1:31" x14ac:dyDescent="0.2">
      <c r="A368" s="347">
        <v>30028</v>
      </c>
      <c r="B368" s="364">
        <f t="shared" si="154"/>
        <v>30.027999999999999</v>
      </c>
      <c r="C368" s="337">
        <f t="shared" si="135"/>
        <v>1.1105052590158833</v>
      </c>
      <c r="D368" s="338">
        <f t="shared" si="136"/>
        <v>0.44989904909764472</v>
      </c>
      <c r="E368" s="338">
        <f t="shared" si="137"/>
        <v>1.0000015726711509</v>
      </c>
      <c r="F368" s="339">
        <f t="shared" si="138"/>
        <v>1.7735101295389133E-3</v>
      </c>
      <c r="G368" s="338">
        <f t="shared" si="139"/>
        <v>1</v>
      </c>
      <c r="H368" s="339">
        <f t="shared" si="140"/>
        <v>0</v>
      </c>
      <c r="I368" s="337">
        <f t="shared" si="141"/>
        <v>217354.54664291468</v>
      </c>
      <c r="J368" s="340">
        <f t="shared" si="142"/>
        <v>1.5707917260169719</v>
      </c>
      <c r="K368" s="348">
        <f t="shared" si="158"/>
        <v>5.0914178648688626</v>
      </c>
      <c r="L368" s="349">
        <f t="shared" si="159"/>
        <v>1.3731021516656463</v>
      </c>
      <c r="M368" s="337">
        <f t="shared" si="143"/>
        <v>1.0004350408471228</v>
      </c>
      <c r="N368" s="340">
        <f t="shared" si="144"/>
        <v>2.9491801862046526E-2</v>
      </c>
      <c r="O368" s="341">
        <f t="shared" si="145"/>
        <v>1.0001754329097512</v>
      </c>
      <c r="P368" s="342">
        <f t="shared" si="146"/>
        <v>4.45707114199081E-2</v>
      </c>
      <c r="Q368" s="343">
        <f t="shared" si="147"/>
        <v>-1.0934644304926864</v>
      </c>
      <c r="R368" s="344">
        <f t="shared" si="148"/>
        <v>-41.245949817284398</v>
      </c>
      <c r="S368" s="346">
        <f t="shared" si="149"/>
        <v>138.75405018271562</v>
      </c>
      <c r="U368" s="319">
        <f t="shared" si="155"/>
        <v>30028</v>
      </c>
      <c r="V368" s="319">
        <f t="shared" si="156"/>
        <v>901680784</v>
      </c>
      <c r="X368" s="345">
        <f t="shared" si="150"/>
        <v>5.0968467626429401</v>
      </c>
      <c r="Y368" s="346">
        <f t="shared" si="151"/>
        <v>-13.01653405587353</v>
      </c>
      <c r="AA368" s="345">
        <f t="shared" si="152"/>
        <v>32.027655820210633</v>
      </c>
      <c r="AB368" s="346">
        <f t="shared" si="153"/>
        <v>-28.229415761410852</v>
      </c>
      <c r="AD368">
        <f t="shared" si="157"/>
        <v>0</v>
      </c>
      <c r="AE368">
        <f t="shared" si="160"/>
        <v>0</v>
      </c>
    </row>
    <row r="369" spans="1:31" x14ac:dyDescent="0.2">
      <c r="A369" s="347">
        <v>30200</v>
      </c>
      <c r="B369" s="364">
        <f t="shared" si="154"/>
        <v>30.2</v>
      </c>
      <c r="C369" s="337">
        <f t="shared" si="135"/>
        <v>1.1117110086457693</v>
      </c>
      <c r="D369" s="338">
        <f t="shared" si="136"/>
        <v>0.45213970192001457</v>
      </c>
      <c r="E369" s="338">
        <f t="shared" si="137"/>
        <v>1.0000015907392161</v>
      </c>
      <c r="F369" s="339">
        <f t="shared" si="138"/>
        <v>1.783668751396213E-3</v>
      </c>
      <c r="G369" s="338">
        <f t="shared" si="139"/>
        <v>1</v>
      </c>
      <c r="H369" s="339">
        <f t="shared" si="140"/>
        <v>0</v>
      </c>
      <c r="I369" s="337">
        <f t="shared" si="141"/>
        <v>218599.55070651503</v>
      </c>
      <c r="J369" s="340">
        <f t="shared" si="142"/>
        <v>1.5707917522200781</v>
      </c>
      <c r="K369" s="348">
        <f t="shared" si="158"/>
        <v>5.119459494186529</v>
      </c>
      <c r="L369" s="349">
        <f t="shared" si="159"/>
        <v>1.3741992243162888</v>
      </c>
      <c r="M369" s="337">
        <f t="shared" si="143"/>
        <v>1.0004400378383667</v>
      </c>
      <c r="N369" s="340">
        <f t="shared" si="144"/>
        <v>2.966063174821975E-2</v>
      </c>
      <c r="O369" s="341">
        <f t="shared" si="145"/>
        <v>1.0001774521275757</v>
      </c>
      <c r="P369" s="342">
        <f t="shared" si="146"/>
        <v>4.4826091974736915E-2</v>
      </c>
      <c r="Q369" s="343">
        <f t="shared" si="147"/>
        <v>-1.1048542610172416</v>
      </c>
      <c r="R369" s="344">
        <f t="shared" si="148"/>
        <v>-41.335197057825276</v>
      </c>
      <c r="S369" s="346">
        <f t="shared" si="149"/>
        <v>138.66480294217473</v>
      </c>
      <c r="U369" s="319">
        <f t="shared" si="155"/>
        <v>30200</v>
      </c>
      <c r="V369" s="319">
        <f t="shared" si="156"/>
        <v>912040000</v>
      </c>
      <c r="X369" s="345">
        <f t="shared" si="150"/>
        <v>5.0949000443669901</v>
      </c>
      <c r="Y369" s="346">
        <f t="shared" si="151"/>
        <v>-12.963351164372508</v>
      </c>
      <c r="AA369" s="345">
        <f t="shared" si="152"/>
        <v>32.018212707962029</v>
      </c>
      <c r="AB369" s="346">
        <f t="shared" si="153"/>
        <v>-28.371845893452779</v>
      </c>
      <c r="AD369">
        <f t="shared" si="157"/>
        <v>0</v>
      </c>
      <c r="AE369">
        <f t="shared" si="160"/>
        <v>0</v>
      </c>
    </row>
    <row r="370" spans="1:31" x14ac:dyDescent="0.2">
      <c r="A370" s="347">
        <v>30375.75</v>
      </c>
      <c r="B370" s="364">
        <f t="shared" si="154"/>
        <v>30.37575</v>
      </c>
      <c r="C370" s="337">
        <f t="shared" si="135"/>
        <v>1.1129487990061235</v>
      </c>
      <c r="D370" s="338">
        <f t="shared" si="136"/>
        <v>0.45442417952834163</v>
      </c>
      <c r="E370" s="338">
        <f t="shared" si="137"/>
        <v>1.0000016093078044</v>
      </c>
      <c r="F370" s="339">
        <f t="shared" si="138"/>
        <v>1.7940488544544199E-3</v>
      </c>
      <c r="G370" s="338">
        <f t="shared" si="139"/>
        <v>1</v>
      </c>
      <c r="H370" s="339">
        <f t="shared" si="140"/>
        <v>0</v>
      </c>
      <c r="I370" s="337">
        <f t="shared" si="141"/>
        <v>219871.69875406037</v>
      </c>
      <c r="J370" s="340">
        <f t="shared" si="142"/>
        <v>1.5707917786879522</v>
      </c>
      <c r="K370" s="348">
        <f t="shared" si="158"/>
        <v>5.148118790731159</v>
      </c>
      <c r="L370" s="349">
        <f t="shared" si="159"/>
        <v>1.3753078692066067</v>
      </c>
      <c r="M370" s="337">
        <f t="shared" si="143"/>
        <v>1.0004451732307684</v>
      </c>
      <c r="N370" s="340">
        <f t="shared" si="144"/>
        <v>2.9833140771407786E-2</v>
      </c>
      <c r="O370" s="341">
        <f t="shared" si="145"/>
        <v>1.0001795273697045</v>
      </c>
      <c r="P370" s="342">
        <f t="shared" si="146"/>
        <v>4.5087041835098568E-2</v>
      </c>
      <c r="Q370" s="343">
        <f t="shared" si="147"/>
        <v>-1.1164946552127013</v>
      </c>
      <c r="R370" s="344">
        <f t="shared" si="148"/>
        <v>-41.426809455106472</v>
      </c>
      <c r="S370" s="346">
        <f t="shared" si="149"/>
        <v>138.57319054489352</v>
      </c>
      <c r="U370" s="319">
        <f t="shared" si="155"/>
        <v>30375.75</v>
      </c>
      <c r="V370" s="319">
        <f t="shared" si="156"/>
        <v>922686188.0625</v>
      </c>
      <c r="X370" s="345">
        <f t="shared" si="150"/>
        <v>5.0929430891089433</v>
      </c>
      <c r="Y370" s="346">
        <f t="shared" si="151"/>
        <v>-12.909716046571342</v>
      </c>
      <c r="AA370" s="345">
        <f t="shared" si="152"/>
        <v>32.008529269024621</v>
      </c>
      <c r="AB370" s="346">
        <f t="shared" si="153"/>
        <v>-28.517093408535132</v>
      </c>
      <c r="AD370">
        <f t="shared" si="157"/>
        <v>0</v>
      </c>
      <c r="AE370">
        <f t="shared" si="160"/>
        <v>0</v>
      </c>
    </row>
    <row r="371" spans="1:31" x14ac:dyDescent="0.2">
      <c r="A371" s="347">
        <v>30551.5</v>
      </c>
      <c r="B371" s="364">
        <f t="shared" si="154"/>
        <v>30.551500000000001</v>
      </c>
      <c r="C371" s="337">
        <f t="shared" si="135"/>
        <v>1.1141923847430042</v>
      </c>
      <c r="D371" s="338">
        <f t="shared" si="136"/>
        <v>0.45670356945339424</v>
      </c>
      <c r="E371" s="338">
        <f t="shared" si="137"/>
        <v>1.0000016279841393</v>
      </c>
      <c r="F371" s="339">
        <f t="shared" si="138"/>
        <v>1.8044289571260215E-3</v>
      </c>
      <c r="G371" s="338">
        <f t="shared" si="139"/>
        <v>1</v>
      </c>
      <c r="H371" s="339">
        <f t="shared" si="140"/>
        <v>0</v>
      </c>
      <c r="I371" s="337">
        <f t="shared" si="141"/>
        <v>221143.84680160583</v>
      </c>
      <c r="J371" s="340">
        <f t="shared" si="142"/>
        <v>1.570791804851309</v>
      </c>
      <c r="K371" s="348">
        <f t="shared" si="158"/>
        <v>5.1767843447307831</v>
      </c>
      <c r="L371" s="349">
        <f t="shared" si="159"/>
        <v>1.3764042375708001</v>
      </c>
      <c r="M371" s="337">
        <f t="shared" si="143"/>
        <v>1.0004503383954748</v>
      </c>
      <c r="N371" s="340">
        <f t="shared" si="144"/>
        <v>3.0005648018456624E-2</v>
      </c>
      <c r="O371" s="341">
        <f t="shared" si="145"/>
        <v>1.0001816147434404</v>
      </c>
      <c r="P371" s="342">
        <f t="shared" si="146"/>
        <v>4.5347993134460744E-2</v>
      </c>
      <c r="Q371" s="343">
        <f t="shared" si="147"/>
        <v>-1.1281377599317979</v>
      </c>
      <c r="R371" s="344">
        <f t="shared" si="148"/>
        <v>-41.518833706001018</v>
      </c>
      <c r="S371" s="346">
        <f t="shared" si="149"/>
        <v>138.48116629399897</v>
      </c>
      <c r="U371" s="319">
        <f t="shared" si="155"/>
        <v>30551.5</v>
      </c>
      <c r="V371" s="319">
        <f t="shared" si="156"/>
        <v>933394152.25</v>
      </c>
      <c r="X371" s="345">
        <f t="shared" si="150"/>
        <v>5.0910179629273147</v>
      </c>
      <c r="Y371" s="346">
        <f t="shared" si="151"/>
        <v>-12.856784202692161</v>
      </c>
      <c r="AA371" s="345">
        <f t="shared" si="152"/>
        <v>31.998811290487147</v>
      </c>
      <c r="AB371" s="346">
        <f t="shared" si="153"/>
        <v>-28.662049503308836</v>
      </c>
      <c r="AD371">
        <f t="shared" si="157"/>
        <v>0</v>
      </c>
      <c r="AE371">
        <f t="shared" si="160"/>
        <v>0</v>
      </c>
    </row>
    <row r="372" spans="1:31" x14ac:dyDescent="0.2">
      <c r="A372" s="347">
        <v>30727.25</v>
      </c>
      <c r="B372" s="364">
        <f t="shared" si="154"/>
        <v>30.727250000000002</v>
      </c>
      <c r="C372" s="337">
        <f t="shared" si="135"/>
        <v>1.1154417464729318</v>
      </c>
      <c r="D372" s="338">
        <f t="shared" si="136"/>
        <v>0.45897786506566385</v>
      </c>
      <c r="E372" s="338">
        <f t="shared" si="137"/>
        <v>1.0000016467682209</v>
      </c>
      <c r="F372" s="339">
        <f t="shared" si="138"/>
        <v>1.8148090594087803E-3</v>
      </c>
      <c r="G372" s="338">
        <f t="shared" si="139"/>
        <v>1</v>
      </c>
      <c r="H372" s="339">
        <f t="shared" si="140"/>
        <v>0</v>
      </c>
      <c r="I372" s="337">
        <f t="shared" si="141"/>
        <v>222415.99484915144</v>
      </c>
      <c r="J372" s="340">
        <f t="shared" si="142"/>
        <v>1.5707918307153736</v>
      </c>
      <c r="K372" s="348">
        <f t="shared" si="158"/>
        <v>5.2054560528092058</v>
      </c>
      <c r="L372" s="349">
        <f t="shared" si="159"/>
        <v>1.3774885296088526</v>
      </c>
      <c r="M372" s="337">
        <f t="shared" si="143"/>
        <v>1.0004555333320255</v>
      </c>
      <c r="N372" s="340">
        <f t="shared" si="144"/>
        <v>3.0178153479126651E-2</v>
      </c>
      <c r="O372" s="341">
        <f t="shared" si="145"/>
        <v>1.0001837142503396</v>
      </c>
      <c r="P372" s="342">
        <f t="shared" si="146"/>
        <v>4.5608945881087853E-2</v>
      </c>
      <c r="Q372" s="343">
        <f t="shared" si="147"/>
        <v>-1.13978400648359</v>
      </c>
      <c r="R372" s="344">
        <f t="shared" si="148"/>
        <v>-41.611257960238191</v>
      </c>
      <c r="S372" s="346">
        <f t="shared" si="149"/>
        <v>138.38874203976181</v>
      </c>
      <c r="U372" s="319">
        <f t="shared" si="155"/>
        <v>30727.25</v>
      </c>
      <c r="V372" s="319">
        <f t="shared" si="156"/>
        <v>944163892.5625</v>
      </c>
      <c r="X372" s="345">
        <f t="shared" si="150"/>
        <v>5.0891239563368362</v>
      </c>
      <c r="Y372" s="346">
        <f t="shared" si="151"/>
        <v>-12.80454416183351</v>
      </c>
      <c r="AA372" s="345">
        <f t="shared" si="152"/>
        <v>31.989059050525835</v>
      </c>
      <c r="AB372" s="346">
        <f t="shared" si="153"/>
        <v>-28.806713798404679</v>
      </c>
      <c r="AD372">
        <f t="shared" si="157"/>
        <v>0</v>
      </c>
      <c r="AE372">
        <f t="shared" si="160"/>
        <v>0</v>
      </c>
    </row>
    <row r="373" spans="1:31" x14ac:dyDescent="0.2">
      <c r="A373" s="347">
        <v>30903</v>
      </c>
      <c r="B373" s="364">
        <f t="shared" si="154"/>
        <v>30.902999999999999</v>
      </c>
      <c r="C373" s="337">
        <f t="shared" si="135"/>
        <v>1.1166968648093434</v>
      </c>
      <c r="D373" s="338">
        <f t="shared" si="136"/>
        <v>0.46124705997603938</v>
      </c>
      <c r="E373" s="338">
        <f t="shared" si="137"/>
        <v>1.0000016656600492</v>
      </c>
      <c r="F373" s="339">
        <f t="shared" si="138"/>
        <v>1.8251891613004605E-3</v>
      </c>
      <c r="G373" s="338">
        <f t="shared" si="139"/>
        <v>1</v>
      </c>
      <c r="H373" s="339">
        <f t="shared" si="140"/>
        <v>0</v>
      </c>
      <c r="I373" s="337">
        <f t="shared" si="141"/>
        <v>223688.14289669722</v>
      </c>
      <c r="J373" s="340">
        <f t="shared" si="142"/>
        <v>1.570791856285253</v>
      </c>
      <c r="K373" s="348">
        <f t="shared" si="158"/>
        <v>5.234133813833389</v>
      </c>
      <c r="L373" s="349">
        <f t="shared" si="159"/>
        <v>1.378560941248177</v>
      </c>
      <c r="M373" s="337">
        <f t="shared" si="143"/>
        <v>1.000460758039956</v>
      </c>
      <c r="N373" s="340">
        <f t="shared" si="144"/>
        <v>3.0350657143178895E-2</v>
      </c>
      <c r="O373" s="341">
        <f t="shared" si="145"/>
        <v>1.0001858258919671</v>
      </c>
      <c r="P373" s="342">
        <f t="shared" si="146"/>
        <v>4.5869900083243278E-2</v>
      </c>
      <c r="Q373" s="343">
        <f t="shared" si="147"/>
        <v>-1.1514338073400063</v>
      </c>
      <c r="R373" s="344">
        <f t="shared" si="148"/>
        <v>-41.704070626114635</v>
      </c>
      <c r="S373" s="346">
        <f t="shared" si="149"/>
        <v>138.29592937388537</v>
      </c>
      <c r="U373" s="319">
        <f t="shared" si="155"/>
        <v>30903</v>
      </c>
      <c r="V373" s="319">
        <f t="shared" si="156"/>
        <v>954995409</v>
      </c>
      <c r="X373" s="345">
        <f t="shared" si="150"/>
        <v>5.0872603792359712</v>
      </c>
      <c r="Y373" s="346">
        <f t="shared" si="151"/>
        <v>-12.752984697887509</v>
      </c>
      <c r="AA373" s="345">
        <f t="shared" si="152"/>
        <v>31.979272826770284</v>
      </c>
      <c r="AB373" s="346">
        <f t="shared" si="153"/>
        <v>-28.95108592822713</v>
      </c>
      <c r="AD373">
        <f t="shared" si="157"/>
        <v>0</v>
      </c>
      <c r="AE373">
        <f t="shared" si="160"/>
        <v>0</v>
      </c>
    </row>
    <row r="374" spans="1:31" x14ac:dyDescent="0.2">
      <c r="A374" s="347">
        <v>31083</v>
      </c>
      <c r="B374" s="364">
        <f t="shared" si="154"/>
        <v>31.082999999999998</v>
      </c>
      <c r="C374" s="337">
        <f t="shared" si="135"/>
        <v>1.1179882813538722</v>
      </c>
      <c r="D374" s="338">
        <f t="shared" si="136"/>
        <v>0.46356583509527605</v>
      </c>
      <c r="E374" s="338">
        <f t="shared" si="137"/>
        <v>1.0000016851204079</v>
      </c>
      <c r="F374" s="339">
        <f t="shared" si="138"/>
        <v>1.8358202752057021E-3</v>
      </c>
      <c r="G374" s="338">
        <f t="shared" si="139"/>
        <v>1</v>
      </c>
      <c r="H374" s="339">
        <f t="shared" si="140"/>
        <v>0</v>
      </c>
      <c r="I374" s="337">
        <f t="shared" si="141"/>
        <v>224991.05412604721</v>
      </c>
      <c r="J374" s="340">
        <f t="shared" si="142"/>
        <v>1.5707918821737366</v>
      </c>
      <c r="K374" s="348">
        <f t="shared" si="158"/>
        <v>5.2635112335710321</v>
      </c>
      <c r="L374" s="349">
        <f t="shared" si="159"/>
        <v>1.3796471715719358</v>
      </c>
      <c r="M374" s="337">
        <f t="shared" si="143"/>
        <v>1.0004661399516732</v>
      </c>
      <c r="N374" s="340">
        <f t="shared" si="144"/>
        <v>3.0527330431075632E-2</v>
      </c>
      <c r="O374" s="341">
        <f t="shared" si="145"/>
        <v>1.0001880011775612</v>
      </c>
      <c r="P374" s="342">
        <f t="shared" si="146"/>
        <v>4.6137166217343914E-2</v>
      </c>
      <c r="Q374" s="343">
        <f t="shared" si="147"/>
        <v>-1.1633694207243004</v>
      </c>
      <c r="R374" s="344">
        <f t="shared" si="148"/>
        <v>-41.799518461647864</v>
      </c>
      <c r="S374" s="346">
        <f t="shared" si="149"/>
        <v>138.20048153835214</v>
      </c>
      <c r="U374" s="319">
        <f t="shared" si="155"/>
        <v>31083</v>
      </c>
      <c r="V374" s="319">
        <f t="shared" si="156"/>
        <v>966152889</v>
      </c>
      <c r="X374" s="345">
        <f t="shared" si="150"/>
        <v>5.0853825777415249</v>
      </c>
      <c r="Y374" s="346">
        <f t="shared" si="151"/>
        <v>-12.70087240174748</v>
      </c>
      <c r="AA374" s="345">
        <f t="shared" si="152"/>
        <v>31.969215014880437</v>
      </c>
      <c r="AB374" s="346">
        <f t="shared" si="153"/>
        <v>-29.0986460599004</v>
      </c>
      <c r="AD374">
        <f t="shared" si="157"/>
        <v>0</v>
      </c>
      <c r="AE374">
        <f t="shared" si="160"/>
        <v>0</v>
      </c>
    </row>
    <row r="375" spans="1:31" x14ac:dyDescent="0.2">
      <c r="A375" s="347">
        <v>31263</v>
      </c>
      <c r="B375" s="364">
        <f t="shared" si="154"/>
        <v>31.263000000000002</v>
      </c>
      <c r="C375" s="337">
        <f t="shared" si="135"/>
        <v>1.1192856951162808</v>
      </c>
      <c r="D375" s="338">
        <f t="shared" si="136"/>
        <v>0.46587924703864864</v>
      </c>
      <c r="E375" s="338">
        <f t="shared" si="137"/>
        <v>1.000001704693787</v>
      </c>
      <c r="F375" s="339">
        <f t="shared" si="138"/>
        <v>1.8464513886959724E-3</v>
      </c>
      <c r="G375" s="338">
        <f t="shared" si="139"/>
        <v>1</v>
      </c>
      <c r="H375" s="339">
        <f t="shared" si="140"/>
        <v>0</v>
      </c>
      <c r="I375" s="337">
        <f t="shared" si="141"/>
        <v>226293.96535539738</v>
      </c>
      <c r="J375" s="340">
        <f t="shared" si="142"/>
        <v>1.5707919077641088</v>
      </c>
      <c r="K375" s="348">
        <f t="shared" si="158"/>
        <v>5.2928947947621801</v>
      </c>
      <c r="L375" s="349">
        <f t="shared" si="159"/>
        <v>1.3807213427132434</v>
      </c>
      <c r="M375" s="337">
        <f t="shared" si="143"/>
        <v>1.0004715530910542</v>
      </c>
      <c r="N375" s="340">
        <f t="shared" si="144"/>
        <v>3.0704001812674096E-2</v>
      </c>
      <c r="O375" s="341">
        <f t="shared" si="145"/>
        <v>1.0001901891952181</v>
      </c>
      <c r="P375" s="342">
        <f t="shared" si="146"/>
        <v>4.6404433895761266E-2</v>
      </c>
      <c r="Q375" s="343">
        <f t="shared" si="147"/>
        <v>-1.175309580379063</v>
      </c>
      <c r="R375" s="344">
        <f t="shared" si="148"/>
        <v>-41.895349912301839</v>
      </c>
      <c r="S375" s="346">
        <f t="shared" si="149"/>
        <v>138.10465008769816</v>
      </c>
      <c r="U375" s="319">
        <f t="shared" si="155"/>
        <v>31263</v>
      </c>
      <c r="V375" s="319">
        <f t="shared" si="156"/>
        <v>977375169</v>
      </c>
      <c r="X375" s="345">
        <f t="shared" si="150"/>
        <v>5.083535289588279</v>
      </c>
      <c r="Y375" s="346">
        <f t="shared" si="151"/>
        <v>-12.649450919563712</v>
      </c>
      <c r="AA375" s="345">
        <f t="shared" si="152"/>
        <v>31.959122143378917</v>
      </c>
      <c r="AB375" s="346">
        <f t="shared" si="153"/>
        <v>-29.245898992738123</v>
      </c>
      <c r="AD375">
        <f t="shared" si="157"/>
        <v>0</v>
      </c>
      <c r="AE375">
        <f t="shared" si="160"/>
        <v>0</v>
      </c>
    </row>
    <row r="376" spans="1:31" x14ac:dyDescent="0.2">
      <c r="A376" s="347">
        <v>31443</v>
      </c>
      <c r="B376" s="364">
        <f t="shared" si="154"/>
        <v>31.443000000000001</v>
      </c>
      <c r="C376" s="337">
        <f t="shared" si="135"/>
        <v>1.1205890852659013</v>
      </c>
      <c r="D376" s="338">
        <f t="shared" si="136"/>
        <v>0.46818728971543833</v>
      </c>
      <c r="E376" s="338">
        <f t="shared" si="137"/>
        <v>1.0000017243801871</v>
      </c>
      <c r="F376" s="339">
        <f t="shared" si="138"/>
        <v>1.8570825017688683E-3</v>
      </c>
      <c r="G376" s="338">
        <f t="shared" si="139"/>
        <v>1</v>
      </c>
      <c r="H376" s="339">
        <f t="shared" si="140"/>
        <v>0</v>
      </c>
      <c r="I376" s="337">
        <f t="shared" si="141"/>
        <v>227596.87658474766</v>
      </c>
      <c r="J376" s="340">
        <f t="shared" si="142"/>
        <v>1.5707919330614895</v>
      </c>
      <c r="K376" s="348">
        <f t="shared" si="158"/>
        <v>5.3222843956886097</v>
      </c>
      <c r="L376" s="349">
        <f t="shared" si="159"/>
        <v>1.3817836519445483</v>
      </c>
      <c r="M376" s="337">
        <f t="shared" si="143"/>
        <v>1.0004769974575924</v>
      </c>
      <c r="N376" s="340">
        <f t="shared" si="144"/>
        <v>3.0880671276976513E-2</v>
      </c>
      <c r="O376" s="341">
        <f t="shared" si="145"/>
        <v>1.0001923899466492</v>
      </c>
      <c r="P376" s="342">
        <f t="shared" si="146"/>
        <v>4.6671703127369242E-2</v>
      </c>
      <c r="Q376" s="343">
        <f t="shared" si="147"/>
        <v>-1.1872546721265991</v>
      </c>
      <c r="R376" s="344">
        <f t="shared" si="148"/>
        <v>-41.991553326397074</v>
      </c>
      <c r="S376" s="346">
        <f t="shared" si="149"/>
        <v>138.00844667360292</v>
      </c>
      <c r="U376" s="319">
        <f t="shared" si="155"/>
        <v>31443</v>
      </c>
      <c r="V376" s="319">
        <f t="shared" si="156"/>
        <v>988662249</v>
      </c>
      <c r="X376" s="345">
        <f t="shared" si="150"/>
        <v>5.0817178325825783</v>
      </c>
      <c r="Y376" s="346">
        <f t="shared" si="151"/>
        <v>-12.598708948120681</v>
      </c>
      <c r="AA376" s="345">
        <f t="shared" si="152"/>
        <v>31.948994508637085</v>
      </c>
      <c r="AB376" s="346">
        <f t="shared" si="153"/>
        <v>-29.392844378276401</v>
      </c>
      <c r="AD376">
        <f t="shared" si="157"/>
        <v>0</v>
      </c>
      <c r="AE376">
        <f t="shared" si="160"/>
        <v>0</v>
      </c>
    </row>
    <row r="377" spans="1:31" x14ac:dyDescent="0.2">
      <c r="A377" s="347">
        <v>31623</v>
      </c>
      <c r="B377" s="364">
        <f t="shared" si="154"/>
        <v>31.623000000000001</v>
      </c>
      <c r="C377" s="337">
        <f t="shared" si="135"/>
        <v>1.1218984309731368</v>
      </c>
      <c r="D377" s="338">
        <f t="shared" si="136"/>
        <v>0.47048995729198279</v>
      </c>
      <c r="E377" s="338">
        <f t="shared" si="137"/>
        <v>1.0000017441796079</v>
      </c>
      <c r="F377" s="339">
        <f t="shared" si="138"/>
        <v>1.8677136144219868E-3</v>
      </c>
      <c r="G377" s="338">
        <f t="shared" si="139"/>
        <v>1</v>
      </c>
      <c r="H377" s="339">
        <f t="shared" si="140"/>
        <v>0</v>
      </c>
      <c r="I377" s="337">
        <f t="shared" si="141"/>
        <v>228899.78781409809</v>
      </c>
      <c r="J377" s="340">
        <f t="shared" si="142"/>
        <v>1.5707919580708818</v>
      </c>
      <c r="K377" s="348">
        <f t="shared" si="158"/>
        <v>5.351679936845823</v>
      </c>
      <c r="L377" s="349">
        <f t="shared" si="159"/>
        <v>1.3828342923124419</v>
      </c>
      <c r="M377" s="337">
        <f t="shared" si="143"/>
        <v>1.000482473050778</v>
      </c>
      <c r="N377" s="340">
        <f t="shared" si="144"/>
        <v>3.1057338812985832E-2</v>
      </c>
      <c r="O377" s="341">
        <f t="shared" si="145"/>
        <v>1.0001946034335747</v>
      </c>
      <c r="P377" s="342">
        <f t="shared" si="146"/>
        <v>4.6938973921040614E-2</v>
      </c>
      <c r="Q377" s="343">
        <f t="shared" si="147"/>
        <v>-1.1992050637776028</v>
      </c>
      <c r="R377" s="344">
        <f t="shared" si="148"/>
        <v>-42.08811730909953</v>
      </c>
      <c r="S377" s="346">
        <f t="shared" si="149"/>
        <v>137.91188269090048</v>
      </c>
      <c r="U377" s="319">
        <f t="shared" si="155"/>
        <v>31623</v>
      </c>
      <c r="V377" s="319">
        <f t="shared" si="156"/>
        <v>1000014129</v>
      </c>
      <c r="X377" s="345">
        <f t="shared" si="150"/>
        <v>5.0799295432153215</v>
      </c>
      <c r="Y377" s="346">
        <f t="shared" si="151"/>
        <v>-12.548635426320025</v>
      </c>
      <c r="AA377" s="345">
        <f t="shared" si="152"/>
        <v>31.938832406353335</v>
      </c>
      <c r="AB377" s="346">
        <f t="shared" si="153"/>
        <v>-29.539481882779501</v>
      </c>
      <c r="AD377">
        <f t="shared" si="157"/>
        <v>0</v>
      </c>
      <c r="AE377">
        <f t="shared" si="160"/>
        <v>0</v>
      </c>
    </row>
    <row r="378" spans="1:31" x14ac:dyDescent="0.2">
      <c r="A378" s="347">
        <v>31807</v>
      </c>
      <c r="B378" s="364">
        <f t="shared" si="154"/>
        <v>31.806999999999999</v>
      </c>
      <c r="C378" s="337">
        <f t="shared" si="135"/>
        <v>1.1232430071120971</v>
      </c>
      <c r="D378" s="338">
        <f t="shared" si="136"/>
        <v>0.47283823385458512</v>
      </c>
      <c r="E378" s="338">
        <f t="shared" si="137"/>
        <v>1.0000017645358319</v>
      </c>
      <c r="F378" s="339">
        <f t="shared" si="138"/>
        <v>1.8785809735865761E-3</v>
      </c>
      <c r="G378" s="338">
        <f t="shared" si="139"/>
        <v>1</v>
      </c>
      <c r="H378" s="339">
        <f t="shared" si="140"/>
        <v>0</v>
      </c>
      <c r="I378" s="337">
        <f t="shared" si="141"/>
        <v>230231.65262632314</v>
      </c>
      <c r="J378" s="340">
        <f t="shared" si="142"/>
        <v>1.5707919833434703</v>
      </c>
      <c r="K378" s="348">
        <f t="shared" si="158"/>
        <v>5.3817347506038837</v>
      </c>
      <c r="L378" s="349">
        <f t="shared" si="159"/>
        <v>1.383896416236724</v>
      </c>
      <c r="M378" s="337">
        <f t="shared" si="143"/>
        <v>1.0004881025985242</v>
      </c>
      <c r="N378" s="340">
        <f t="shared" si="144"/>
        <v>3.1237930289744351E-2</v>
      </c>
      <c r="O378" s="341">
        <f t="shared" si="145"/>
        <v>1.0001968792740565</v>
      </c>
      <c r="P378" s="342">
        <f t="shared" si="146"/>
        <v>4.7212185689437691E-2</v>
      </c>
      <c r="Q378" s="343">
        <f t="shared" si="147"/>
        <v>-1.2114268623391689</v>
      </c>
      <c r="R378" s="344">
        <f t="shared" si="148"/>
        <v>-42.187188232072927</v>
      </c>
      <c r="S378" s="346">
        <f t="shared" si="149"/>
        <v>137.81281176792709</v>
      </c>
      <c r="U378" s="319">
        <f t="shared" si="155"/>
        <v>31807</v>
      </c>
      <c r="V378" s="319">
        <f t="shared" si="156"/>
        <v>1011685249</v>
      </c>
      <c r="X378" s="345">
        <f t="shared" si="150"/>
        <v>5.0781309892340829</v>
      </c>
      <c r="Y378" s="346">
        <f t="shared" si="151"/>
        <v>-12.498128785528033</v>
      </c>
      <c r="AA378" s="345">
        <f t="shared" si="152"/>
        <v>31.928409161773011</v>
      </c>
      <c r="AB378" s="346">
        <f t="shared" si="153"/>
        <v>-29.689059446544888</v>
      </c>
      <c r="AD378">
        <f t="shared" si="157"/>
        <v>0</v>
      </c>
      <c r="AE378">
        <f t="shared" si="160"/>
        <v>0</v>
      </c>
    </row>
    <row r="379" spans="1:31" x14ac:dyDescent="0.2">
      <c r="A379" s="347">
        <v>31991</v>
      </c>
      <c r="B379" s="364">
        <f t="shared" si="154"/>
        <v>31.991</v>
      </c>
      <c r="C379" s="337">
        <f t="shared" si="135"/>
        <v>1.1245937624343025</v>
      </c>
      <c r="D379" s="338">
        <f t="shared" si="136"/>
        <v>0.47518088225571037</v>
      </c>
      <c r="E379" s="338">
        <f t="shared" si="137"/>
        <v>1.0000017850101555</v>
      </c>
      <c r="F379" s="339">
        <f t="shared" si="138"/>
        <v>1.8894483323074463E-3</v>
      </c>
      <c r="G379" s="338">
        <f t="shared" si="139"/>
        <v>1</v>
      </c>
      <c r="H379" s="339">
        <f t="shared" si="140"/>
        <v>0</v>
      </c>
      <c r="I379" s="337">
        <f t="shared" si="141"/>
        <v>231563.51743854833</v>
      </c>
      <c r="J379" s="340">
        <f t="shared" si="142"/>
        <v>1.5707920083253422</v>
      </c>
      <c r="K379" s="348">
        <f t="shared" si="158"/>
        <v>5.4117955680984187</v>
      </c>
      <c r="L379" s="349">
        <f t="shared" si="159"/>
        <v>1.3849467418081334</v>
      </c>
      <c r="M379" s="337">
        <f t="shared" si="143"/>
        <v>1.0004937647751024</v>
      </c>
      <c r="N379" s="340">
        <f t="shared" si="144"/>
        <v>3.1418519728320056E-2</v>
      </c>
      <c r="O379" s="341">
        <f t="shared" si="145"/>
        <v>1.0001991684260119</v>
      </c>
      <c r="P379" s="342">
        <f t="shared" si="146"/>
        <v>4.7485399108839699E-2</v>
      </c>
      <c r="Q379" s="343">
        <f t="shared" si="147"/>
        <v>-1.2236549212645456</v>
      </c>
      <c r="R379" s="344">
        <f t="shared" si="148"/>
        <v>-42.286612642157401</v>
      </c>
      <c r="S379" s="346">
        <f t="shared" si="149"/>
        <v>137.71338735784261</v>
      </c>
      <c r="U379" s="319">
        <f t="shared" si="155"/>
        <v>31991</v>
      </c>
      <c r="V379" s="319">
        <f t="shared" si="156"/>
        <v>1023424081</v>
      </c>
      <c r="X379" s="345">
        <f t="shared" si="150"/>
        <v>5.0763615687288253</v>
      </c>
      <c r="Y379" s="346">
        <f t="shared" si="151"/>
        <v>-12.448298007125524</v>
      </c>
      <c r="AA379" s="345">
        <f t="shared" si="152"/>
        <v>31.917950523352889</v>
      </c>
      <c r="AB379" s="346">
        <f t="shared" si="153"/>
        <v>-29.838314635031907</v>
      </c>
      <c r="AD379">
        <f t="shared" si="157"/>
        <v>0</v>
      </c>
      <c r="AE379">
        <f t="shared" si="160"/>
        <v>0</v>
      </c>
    </row>
    <row r="380" spans="1:31" x14ac:dyDescent="0.2">
      <c r="A380" s="347">
        <v>32175</v>
      </c>
      <c r="B380" s="364">
        <f t="shared" si="154"/>
        <v>32.174999999999997</v>
      </c>
      <c r="C380" s="337">
        <f t="shared" si="135"/>
        <v>1.1259506747010402</v>
      </c>
      <c r="D380" s="338">
        <f t="shared" si="136"/>
        <v>0.4775178970843777</v>
      </c>
      <c r="E380" s="338">
        <f t="shared" si="137"/>
        <v>1.0000018056025788</v>
      </c>
      <c r="F380" s="339">
        <f t="shared" si="138"/>
        <v>1.9003156905820302E-3</v>
      </c>
      <c r="G380" s="338">
        <f t="shared" si="139"/>
        <v>1</v>
      </c>
      <c r="H380" s="339">
        <f t="shared" si="140"/>
        <v>0</v>
      </c>
      <c r="I380" s="337">
        <f t="shared" si="141"/>
        <v>232895.38225077363</v>
      </c>
      <c r="J380" s="340">
        <f t="shared" si="142"/>
        <v>1.5707920330214851</v>
      </c>
      <c r="K380" s="348">
        <f t="shared" si="158"/>
        <v>5.4418622898356057</v>
      </c>
      <c r="L380" s="349">
        <f t="shared" si="159"/>
        <v>1.3859854622503649</v>
      </c>
      <c r="M380" s="337">
        <f t="shared" si="143"/>
        <v>1.000499459579959</v>
      </c>
      <c r="N380" s="340">
        <f t="shared" si="144"/>
        <v>3.15991071169687E-2</v>
      </c>
      <c r="O380" s="341">
        <f t="shared" si="145"/>
        <v>1.0002014708913107</v>
      </c>
      <c r="P380" s="342">
        <f t="shared" si="146"/>
        <v>4.7758614188720211E-2</v>
      </c>
      <c r="Q380" s="343">
        <f t="shared" si="147"/>
        <v>-1.2358895790584112</v>
      </c>
      <c r="R380" s="344">
        <f t="shared" si="148"/>
        <v>-42.386379158580219</v>
      </c>
      <c r="S380" s="346">
        <f t="shared" si="149"/>
        <v>137.61362084141979</v>
      </c>
      <c r="U380" s="319">
        <f t="shared" si="155"/>
        <v>32175</v>
      </c>
      <c r="V380" s="319">
        <f t="shared" si="156"/>
        <v>1035230625</v>
      </c>
      <c r="X380" s="345">
        <f t="shared" si="150"/>
        <v>5.0746206296345804</v>
      </c>
      <c r="Y380" s="346">
        <f t="shared" si="151"/>
        <v>-12.399132019823133</v>
      </c>
      <c r="AA380" s="345">
        <f t="shared" si="152"/>
        <v>31.907456804653272</v>
      </c>
      <c r="AB380" s="346">
        <f t="shared" si="153"/>
        <v>-29.987247138757105</v>
      </c>
      <c r="AD380">
        <f t="shared" si="157"/>
        <v>0</v>
      </c>
      <c r="AE380">
        <f t="shared" si="160"/>
        <v>0</v>
      </c>
    </row>
    <row r="381" spans="1:31" x14ac:dyDescent="0.2">
      <c r="A381" s="347">
        <v>32359</v>
      </c>
      <c r="B381" s="364">
        <f t="shared" si="154"/>
        <v>32.359000000000002</v>
      </c>
      <c r="C381" s="337">
        <f t="shared" si="135"/>
        <v>1.1273137216795455</v>
      </c>
      <c r="D381" s="338">
        <f t="shared" si="136"/>
        <v>0.47984927320174597</v>
      </c>
      <c r="E381" s="338">
        <f t="shared" si="137"/>
        <v>1.0000018263131019</v>
      </c>
      <c r="F381" s="339">
        <f t="shared" si="138"/>
        <v>1.9111830484077612E-3</v>
      </c>
      <c r="G381" s="338">
        <f t="shared" si="139"/>
        <v>1</v>
      </c>
      <c r="H381" s="339">
        <f t="shared" si="140"/>
        <v>0</v>
      </c>
      <c r="I381" s="337">
        <f t="shared" si="141"/>
        <v>234227.24706299911</v>
      </c>
      <c r="J381" s="340">
        <f t="shared" si="142"/>
        <v>1.5707920574367731</v>
      </c>
      <c r="K381" s="348">
        <f t="shared" si="158"/>
        <v>5.4719348184890562</v>
      </c>
      <c r="L381" s="349">
        <f t="shared" si="159"/>
        <v>1.3870127666408834</v>
      </c>
      <c r="M381" s="337">
        <f t="shared" si="143"/>
        <v>1.0005051870125368</v>
      </c>
      <c r="N381" s="340">
        <f t="shared" si="144"/>
        <v>3.1779692443946815E-2</v>
      </c>
      <c r="O381" s="341">
        <f t="shared" si="145"/>
        <v>1.0002037866718338</v>
      </c>
      <c r="P381" s="342">
        <f t="shared" si="146"/>
        <v>4.8031830938551484E-2</v>
      </c>
      <c r="Q381" s="343">
        <f t="shared" si="147"/>
        <v>-1.2481311571660325</v>
      </c>
      <c r="R381" s="344">
        <f t="shared" si="148"/>
        <v>-42.486476653715982</v>
      </c>
      <c r="S381" s="346">
        <f t="shared" si="149"/>
        <v>137.51352334628402</v>
      </c>
      <c r="U381" s="319">
        <f t="shared" si="155"/>
        <v>32359</v>
      </c>
      <c r="V381" s="319">
        <f t="shared" si="156"/>
        <v>1047104881</v>
      </c>
      <c r="X381" s="345">
        <f t="shared" si="150"/>
        <v>5.0729075377552721</v>
      </c>
      <c r="Y381" s="346">
        <f t="shared" si="151"/>
        <v>-12.350619989886525</v>
      </c>
      <c r="AA381" s="345">
        <f t="shared" si="152"/>
        <v>31.896928318424958</v>
      </c>
      <c r="AB381" s="346">
        <f t="shared" si="153"/>
        <v>-30.135856663829454</v>
      </c>
      <c r="AD381">
        <f t="shared" si="157"/>
        <v>0</v>
      </c>
      <c r="AE381">
        <f t="shared" si="160"/>
        <v>0</v>
      </c>
    </row>
    <row r="382" spans="1:31" x14ac:dyDescent="0.2">
      <c r="A382" s="347">
        <v>32547.5</v>
      </c>
      <c r="B382" s="364">
        <f t="shared" si="154"/>
        <v>32.547499999999999</v>
      </c>
      <c r="C382" s="337">
        <f t="shared" si="135"/>
        <v>1.128716442407631</v>
      </c>
      <c r="D382" s="338">
        <f t="shared" si="136"/>
        <v>0.48223181432888995</v>
      </c>
      <c r="E382" s="338">
        <f t="shared" si="137"/>
        <v>1.0000018476525996</v>
      </c>
      <c r="F382" s="339">
        <f t="shared" si="138"/>
        <v>1.9223161835382667E-3</v>
      </c>
      <c r="G382" s="338">
        <f t="shared" si="139"/>
        <v>1</v>
      </c>
      <c r="H382" s="339">
        <f t="shared" si="140"/>
        <v>0</v>
      </c>
      <c r="I382" s="337">
        <f t="shared" si="141"/>
        <v>235591.68465595852</v>
      </c>
      <c r="J382" s="340">
        <f t="shared" si="142"/>
        <v>1.570792082162912</v>
      </c>
      <c r="K382" s="348">
        <f t="shared" si="158"/>
        <v>5.5027487387412322</v>
      </c>
      <c r="L382" s="349">
        <f t="shared" si="159"/>
        <v>1.3880535504853815</v>
      </c>
      <c r="M382" s="337">
        <f t="shared" si="143"/>
        <v>1.0005110883520278</v>
      </c>
      <c r="N382" s="340">
        <f t="shared" si="144"/>
        <v>3.196469210970472E-2</v>
      </c>
      <c r="O382" s="341">
        <f t="shared" si="145"/>
        <v>1.0002061728979439</v>
      </c>
      <c r="P382" s="342">
        <f t="shared" si="146"/>
        <v>4.8311731361377674E-2</v>
      </c>
      <c r="Q382" s="343">
        <f t="shared" si="147"/>
        <v>-1.2606796166889649</v>
      </c>
      <c r="R382" s="344">
        <f t="shared" si="148"/>
        <v>-42.589354031278887</v>
      </c>
      <c r="S382" s="346">
        <f t="shared" si="149"/>
        <v>137.4106459687211</v>
      </c>
      <c r="U382" s="319">
        <f t="shared" si="155"/>
        <v>32547.5</v>
      </c>
      <c r="V382" s="319">
        <f t="shared" si="156"/>
        <v>1059339756.25</v>
      </c>
      <c r="X382" s="345">
        <f t="shared" si="150"/>
        <v>5.0711807818876453</v>
      </c>
      <c r="Y382" s="346">
        <f t="shared" si="151"/>
        <v>-12.301588584918017</v>
      </c>
      <c r="AA382" s="345">
        <f t="shared" si="152"/>
        <v>31.886106614769648</v>
      </c>
      <c r="AB382" s="346">
        <f t="shared" si="153"/>
        <v>-30.287765446360872</v>
      </c>
      <c r="AD382">
        <f t="shared" si="157"/>
        <v>0</v>
      </c>
      <c r="AE382">
        <f t="shared" si="160"/>
        <v>0</v>
      </c>
    </row>
    <row r="383" spans="1:31" x14ac:dyDescent="0.2">
      <c r="A383" s="347">
        <v>32736</v>
      </c>
      <c r="B383" s="364">
        <f t="shared" si="154"/>
        <v>32.735999999999997</v>
      </c>
      <c r="C383" s="337">
        <f t="shared" si="135"/>
        <v>1.130125554370687</v>
      </c>
      <c r="D383" s="338">
        <f t="shared" si="136"/>
        <v>0.48460842751322059</v>
      </c>
      <c r="E383" s="338">
        <f t="shared" si="137"/>
        <v>1.0000018691160444</v>
      </c>
      <c r="F383" s="339">
        <f t="shared" si="138"/>
        <v>1.9334493181922426E-3</v>
      </c>
      <c r="G383" s="338">
        <f t="shared" si="139"/>
        <v>1</v>
      </c>
      <c r="H383" s="339">
        <f t="shared" si="140"/>
        <v>0</v>
      </c>
      <c r="I383" s="337">
        <f t="shared" si="141"/>
        <v>236956.12224891805</v>
      </c>
      <c r="J383" s="340">
        <f t="shared" si="142"/>
        <v>1.5707921066042954</v>
      </c>
      <c r="K383" s="348">
        <f t="shared" si="158"/>
        <v>5.5335685533523691</v>
      </c>
      <c r="L383" s="349">
        <f t="shared" si="159"/>
        <v>1.3890827419157479</v>
      </c>
      <c r="M383" s="337">
        <f t="shared" si="143"/>
        <v>1.0005170239334826</v>
      </c>
      <c r="N383" s="340">
        <f t="shared" si="144"/>
        <v>3.2149689586767782E-2</v>
      </c>
      <c r="O383" s="341">
        <f t="shared" si="145"/>
        <v>1.0002085731025612</v>
      </c>
      <c r="P383" s="342">
        <f t="shared" si="146"/>
        <v>4.8591633556957045E-2</v>
      </c>
      <c r="Q383" s="343">
        <f t="shared" si="147"/>
        <v>-1.2732359698098343</v>
      </c>
      <c r="R383" s="344">
        <f t="shared" si="148"/>
        <v>-42.692555919022205</v>
      </c>
      <c r="S383" s="346">
        <f t="shared" si="149"/>
        <v>137.3074440809778</v>
      </c>
      <c r="U383" s="319">
        <f t="shared" si="155"/>
        <v>32736</v>
      </c>
      <c r="V383" s="319">
        <f t="shared" si="156"/>
        <v>1071645696</v>
      </c>
      <c r="X383" s="345">
        <f t="shared" si="150"/>
        <v>5.0694819595153797</v>
      </c>
      <c r="Y383" s="346">
        <f t="shared" si="151"/>
        <v>-12.25322123463612</v>
      </c>
      <c r="AA383" s="345">
        <f t="shared" si="152"/>
        <v>31.87524908402105</v>
      </c>
      <c r="AB383" s="346">
        <f t="shared" si="153"/>
        <v>-30.439334684386068</v>
      </c>
      <c r="AD383">
        <f t="shared" si="157"/>
        <v>0</v>
      </c>
      <c r="AE383">
        <f t="shared" si="160"/>
        <v>0</v>
      </c>
    </row>
    <row r="384" spans="1:31" x14ac:dyDescent="0.2">
      <c r="A384" s="347">
        <v>32924.5</v>
      </c>
      <c r="B384" s="364">
        <f t="shared" si="154"/>
        <v>32.924500000000002</v>
      </c>
      <c r="C384" s="337">
        <f t="shared" si="135"/>
        <v>1.1315410336916318</v>
      </c>
      <c r="D384" s="338">
        <f t="shared" si="136"/>
        <v>0.48697910810361283</v>
      </c>
      <c r="E384" s="338">
        <f t="shared" si="137"/>
        <v>1.000001890703436</v>
      </c>
      <c r="F384" s="339">
        <f t="shared" si="138"/>
        <v>1.9445824523669285E-3</v>
      </c>
      <c r="G384" s="338">
        <f t="shared" si="139"/>
        <v>1</v>
      </c>
      <c r="H384" s="339">
        <f t="shared" si="140"/>
        <v>0</v>
      </c>
      <c r="I384" s="337">
        <f t="shared" si="141"/>
        <v>238320.55984187772</v>
      </c>
      <c r="J384" s="340">
        <f t="shared" si="142"/>
        <v>1.5707921307658144</v>
      </c>
      <c r="K384" s="348">
        <f t="shared" si="158"/>
        <v>5.5643941643802419</v>
      </c>
      <c r="L384" s="349">
        <f t="shared" si="159"/>
        <v>1.3901005313922006</v>
      </c>
      <c r="M384" s="337">
        <f t="shared" si="143"/>
        <v>1.0005229937562914</v>
      </c>
      <c r="N384" s="340">
        <f t="shared" si="144"/>
        <v>3.2334684862512342E-2</v>
      </c>
      <c r="O384" s="341">
        <f t="shared" si="145"/>
        <v>1.0002109872877429</v>
      </c>
      <c r="P384" s="342">
        <f t="shared" si="146"/>
        <v>4.887153753546955E-2</v>
      </c>
      <c r="Q384" s="343">
        <f t="shared" si="147"/>
        <v>-1.2858005102954737</v>
      </c>
      <c r="R384" s="344">
        <f t="shared" si="148"/>
        <v>-42.79607113802976</v>
      </c>
      <c r="S384" s="346">
        <f t="shared" si="149"/>
        <v>137.20392886197024</v>
      </c>
      <c r="U384" s="319">
        <f t="shared" si="155"/>
        <v>32924.5</v>
      </c>
      <c r="V384" s="319">
        <f t="shared" si="156"/>
        <v>1084022700.25</v>
      </c>
      <c r="X384" s="345">
        <f t="shared" si="150"/>
        <v>5.067810443369325</v>
      </c>
      <c r="Y384" s="346">
        <f t="shared" si="151"/>
        <v>-12.205507026031112</v>
      </c>
      <c r="AA384" s="345">
        <f t="shared" si="152"/>
        <v>31.864356059681466</v>
      </c>
      <c r="AB384" s="346">
        <f t="shared" si="153"/>
        <v>-30.59056411199866</v>
      </c>
      <c r="AD384">
        <f t="shared" si="157"/>
        <v>0</v>
      </c>
      <c r="AE384">
        <f t="shared" si="160"/>
        <v>0</v>
      </c>
    </row>
    <row r="385" spans="1:31" x14ac:dyDescent="0.2">
      <c r="A385" s="347">
        <v>33113</v>
      </c>
      <c r="B385" s="364">
        <f t="shared" si="154"/>
        <v>33.113</v>
      </c>
      <c r="C385" s="337">
        <f t="shared" si="135"/>
        <v>1.1329628565050853</v>
      </c>
      <c r="D385" s="338">
        <f t="shared" si="136"/>
        <v>0.48934385173886641</v>
      </c>
      <c r="E385" s="338">
        <f t="shared" si="137"/>
        <v>1.0000019124147745</v>
      </c>
      <c r="F385" s="339">
        <f t="shared" si="138"/>
        <v>1.9557155860595648E-3</v>
      </c>
      <c r="G385" s="338">
        <f t="shared" si="139"/>
        <v>1</v>
      </c>
      <c r="H385" s="339">
        <f t="shared" si="140"/>
        <v>0</v>
      </c>
      <c r="I385" s="337">
        <f t="shared" si="141"/>
        <v>239684.99743483754</v>
      </c>
      <c r="J385" s="340">
        <f t="shared" si="142"/>
        <v>1.5707921546522481</v>
      </c>
      <c r="K385" s="348">
        <f t="shared" si="158"/>
        <v>5.5952254760227662</v>
      </c>
      <c r="L385" s="349">
        <f t="shared" si="159"/>
        <v>1.3911071052726731</v>
      </c>
      <c r="M385" s="337">
        <f t="shared" si="143"/>
        <v>1.0005289978198415</v>
      </c>
      <c r="N385" s="340">
        <f t="shared" si="144"/>
        <v>3.2519677924315642E-2</v>
      </c>
      <c r="O385" s="341">
        <f t="shared" si="145"/>
        <v>1.0002134154555582</v>
      </c>
      <c r="P385" s="342">
        <f t="shared" si="146"/>
        <v>4.915144330709361E-2</v>
      </c>
      <c r="Q385" s="343">
        <f t="shared" si="147"/>
        <v>-1.2983735156481804</v>
      </c>
      <c r="R385" s="344">
        <f t="shared" si="148"/>
        <v>-42.899888761034077</v>
      </c>
      <c r="S385" s="346">
        <f t="shared" si="149"/>
        <v>137.10011123896592</v>
      </c>
      <c r="U385" s="319">
        <f t="shared" si="155"/>
        <v>33113</v>
      </c>
      <c r="V385" s="319">
        <f t="shared" si="156"/>
        <v>1096470769</v>
      </c>
      <c r="X385" s="345">
        <f t="shared" si="150"/>
        <v>5.0661656234148271</v>
      </c>
      <c r="Y385" s="346">
        <f t="shared" si="151"/>
        <v>-12.158435281130508</v>
      </c>
      <c r="AA385" s="345">
        <f t="shared" si="152"/>
        <v>31.853427874283256</v>
      </c>
      <c r="AB385" s="346">
        <f t="shared" si="153"/>
        <v>-30.741453479903601</v>
      </c>
      <c r="AD385">
        <f t="shared" si="157"/>
        <v>0</v>
      </c>
      <c r="AE385">
        <f t="shared" si="160"/>
        <v>0</v>
      </c>
    </row>
    <row r="386" spans="1:31" x14ac:dyDescent="0.2">
      <c r="A386" s="347">
        <v>33305.75</v>
      </c>
      <c r="B386" s="364">
        <f t="shared" si="154"/>
        <v>33.305750000000003</v>
      </c>
      <c r="C386" s="337">
        <f t="shared" si="135"/>
        <v>1.1344232711205249</v>
      </c>
      <c r="D386" s="338">
        <f t="shared" si="136"/>
        <v>0.49175576838284152</v>
      </c>
      <c r="E386" s="338">
        <f t="shared" si="137"/>
        <v>1.0000019347437963</v>
      </c>
      <c r="F386" s="339">
        <f t="shared" si="138"/>
        <v>1.9670997315489607E-3</v>
      </c>
      <c r="G386" s="338">
        <f t="shared" si="139"/>
        <v>1</v>
      </c>
      <c r="H386" s="339">
        <f t="shared" si="140"/>
        <v>0</v>
      </c>
      <c r="I386" s="337">
        <f t="shared" si="141"/>
        <v>241080.19820960163</v>
      </c>
      <c r="J386" s="340">
        <f t="shared" si="142"/>
        <v>1.5707921787976433</v>
      </c>
      <c r="K386" s="348">
        <f t="shared" si="158"/>
        <v>5.6267577205658217</v>
      </c>
      <c r="L386" s="349">
        <f t="shared" si="159"/>
        <v>1.3921249660081101</v>
      </c>
      <c r="M386" s="337">
        <f t="shared" si="143"/>
        <v>1.000535172660336</v>
      </c>
      <c r="N386" s="340">
        <f t="shared" si="144"/>
        <v>3.270883961469194E-2</v>
      </c>
      <c r="O386" s="341">
        <f t="shared" si="145"/>
        <v>1.0002159128311063</v>
      </c>
      <c r="P386" s="342">
        <f t="shared" si="146"/>
        <v>4.9437661816365108E-2</v>
      </c>
      <c r="Q386" s="343">
        <f t="shared" si="147"/>
        <v>-1.3112390232313242</v>
      </c>
      <c r="R386" s="344">
        <f t="shared" si="148"/>
        <v>-43.006348680163491</v>
      </c>
      <c r="S386" s="346">
        <f t="shared" si="149"/>
        <v>136.99365131983652</v>
      </c>
      <c r="U386" s="319">
        <f t="shared" si="155"/>
        <v>33305.75</v>
      </c>
      <c r="V386" s="319">
        <f t="shared" si="156"/>
        <v>1109272983.0625</v>
      </c>
      <c r="X386" s="345">
        <f t="shared" si="150"/>
        <v>5.0645107063961223</v>
      </c>
      <c r="Y386" s="346">
        <f t="shared" si="151"/>
        <v>-12.110955706737005</v>
      </c>
      <c r="AA386" s="345">
        <f t="shared" si="152"/>
        <v>31.842217283718817</v>
      </c>
      <c r="AB386" s="346">
        <f t="shared" si="153"/>
        <v>-30.89539297342651</v>
      </c>
      <c r="AD386">
        <f t="shared" si="157"/>
        <v>0</v>
      </c>
      <c r="AE386">
        <f t="shared" si="160"/>
        <v>0</v>
      </c>
    </row>
    <row r="387" spans="1:31" x14ac:dyDescent="0.2">
      <c r="A387" s="347">
        <v>33498.5</v>
      </c>
      <c r="B387" s="364">
        <f t="shared" si="154"/>
        <v>33.4985</v>
      </c>
      <c r="C387" s="337">
        <f t="shared" si="135"/>
        <v>1.1358902680721097</v>
      </c>
      <c r="D387" s="338">
        <f t="shared" si="136"/>
        <v>0.49416146903349462</v>
      </c>
      <c r="E387" s="338">
        <f t="shared" si="137"/>
        <v>1.000001957202417</v>
      </c>
      <c r="F387" s="339">
        <f t="shared" si="138"/>
        <v>1.9784838765284887E-3</v>
      </c>
      <c r="G387" s="338">
        <f t="shared" si="139"/>
        <v>1</v>
      </c>
      <c r="H387" s="339">
        <f t="shared" si="140"/>
        <v>0</v>
      </c>
      <c r="I387" s="337">
        <f t="shared" si="141"/>
        <v>242475.39898436583</v>
      </c>
      <c r="J387" s="340">
        <f t="shared" si="142"/>
        <v>1.5707922026651737</v>
      </c>
      <c r="K387" s="348">
        <f t="shared" si="158"/>
        <v>5.6582957296809404</v>
      </c>
      <c r="L387" s="349">
        <f t="shared" si="159"/>
        <v>1.3931314811441582</v>
      </c>
      <c r="M387" s="337">
        <f t="shared" si="143"/>
        <v>1.0005413833016827</v>
      </c>
      <c r="N387" s="340">
        <f t="shared" si="144"/>
        <v>3.2897998963477226E-2</v>
      </c>
      <c r="O387" s="341">
        <f t="shared" si="145"/>
        <v>1.0002184248313264</v>
      </c>
      <c r="P387" s="342">
        <f t="shared" si="146"/>
        <v>4.9723882222036407E-2</v>
      </c>
      <c r="Q387" s="343">
        <f t="shared" si="147"/>
        <v>-1.3241139189715803</v>
      </c>
      <c r="R387" s="344">
        <f t="shared" si="148"/>
        <v>-43.113102462672593</v>
      </c>
      <c r="S387" s="346">
        <f t="shared" si="149"/>
        <v>136.8868975373274</v>
      </c>
      <c r="U387" s="319">
        <f t="shared" si="155"/>
        <v>33498.5</v>
      </c>
      <c r="V387" s="319">
        <f t="shared" si="156"/>
        <v>1122149502.25</v>
      </c>
      <c r="X387" s="345">
        <f t="shared" si="150"/>
        <v>5.0628824656173652</v>
      </c>
      <c r="Y387" s="346">
        <f t="shared" si="151"/>
        <v>-12.0641260372215</v>
      </c>
      <c r="AA387" s="345">
        <f t="shared" si="152"/>
        <v>31.830970628757314</v>
      </c>
      <c r="AB387" s="346">
        <f t="shared" si="153"/>
        <v>-31.048976425451105</v>
      </c>
      <c r="AD387">
        <f t="shared" si="157"/>
        <v>0</v>
      </c>
      <c r="AE387">
        <f t="shared" si="160"/>
        <v>0</v>
      </c>
    </row>
    <row r="388" spans="1:31" x14ac:dyDescent="0.2">
      <c r="A388" s="347">
        <v>33691.25</v>
      </c>
      <c r="B388" s="364">
        <f t="shared" si="154"/>
        <v>33.691249999999997</v>
      </c>
      <c r="C388" s="337">
        <f t="shared" si="135"/>
        <v>1.1373638218897131</v>
      </c>
      <c r="D388" s="338">
        <f t="shared" si="136"/>
        <v>0.4965609499518539</v>
      </c>
      <c r="E388" s="338">
        <f t="shared" si="137"/>
        <v>1.0000019797906368</v>
      </c>
      <c r="F388" s="339">
        <f t="shared" si="138"/>
        <v>1.9898680209951979E-3</v>
      </c>
      <c r="G388" s="338">
        <f t="shared" si="139"/>
        <v>1</v>
      </c>
      <c r="H388" s="339">
        <f t="shared" si="140"/>
        <v>0</v>
      </c>
      <c r="I388" s="337">
        <f t="shared" si="141"/>
        <v>243870.59975913021</v>
      </c>
      <c r="J388" s="340">
        <f t="shared" si="142"/>
        <v>1.5707922262596088</v>
      </c>
      <c r="K388" s="348">
        <f t="shared" si="158"/>
        <v>5.6898394075113945</v>
      </c>
      <c r="L388" s="349">
        <f t="shared" si="159"/>
        <v>1.3941268373195999</v>
      </c>
      <c r="M388" s="337">
        <f t="shared" si="143"/>
        <v>1.0005476297432145</v>
      </c>
      <c r="N388" s="340">
        <f t="shared" si="144"/>
        <v>3.308715595717851E-2</v>
      </c>
      <c r="O388" s="341">
        <f t="shared" si="145"/>
        <v>1.0002209514584695</v>
      </c>
      <c r="P388" s="342">
        <f t="shared" si="146"/>
        <v>5.0010104534985056E-2</v>
      </c>
      <c r="Q388" s="343">
        <f t="shared" si="147"/>
        <v>-1.3369984505202401</v>
      </c>
      <c r="R388" s="344">
        <f t="shared" si="148"/>
        <v>-43.2201392008431</v>
      </c>
      <c r="S388" s="346">
        <f t="shared" si="149"/>
        <v>136.77986079915689</v>
      </c>
      <c r="U388" s="319">
        <f t="shared" si="155"/>
        <v>33691.25</v>
      </c>
      <c r="V388" s="319">
        <f t="shared" si="156"/>
        <v>1135100326.5625</v>
      </c>
      <c r="X388" s="345">
        <f t="shared" si="150"/>
        <v>5.0612803011598286</v>
      </c>
      <c r="Y388" s="346">
        <f t="shared" si="151"/>
        <v>-12.01793557846965</v>
      </c>
      <c r="AA388" s="345">
        <f t="shared" si="152"/>
        <v>31.81968826166619</v>
      </c>
      <c r="AB388" s="346">
        <f t="shared" si="153"/>
        <v>-31.202203622373467</v>
      </c>
      <c r="AD388">
        <f t="shared" si="157"/>
        <v>0</v>
      </c>
      <c r="AE388">
        <f t="shared" si="160"/>
        <v>0</v>
      </c>
    </row>
    <row r="389" spans="1:31" x14ac:dyDescent="0.2">
      <c r="A389" s="347">
        <v>33884</v>
      </c>
      <c r="B389" s="364">
        <f t="shared" si="154"/>
        <v>33.884</v>
      </c>
      <c r="C389" s="337">
        <f t="shared" si="135"/>
        <v>1.1388439071214849</v>
      </c>
      <c r="D389" s="338">
        <f t="shared" si="136"/>
        <v>0.49895420770473548</v>
      </c>
      <c r="E389" s="338">
        <f t="shared" si="137"/>
        <v>1.0000020025084555</v>
      </c>
      <c r="F389" s="339">
        <f t="shared" si="138"/>
        <v>2.0012521649461373E-3</v>
      </c>
      <c r="G389" s="338">
        <f t="shared" si="139"/>
        <v>1</v>
      </c>
      <c r="H389" s="339">
        <f t="shared" si="140"/>
        <v>0</v>
      </c>
      <c r="I389" s="337">
        <f t="shared" si="141"/>
        <v>245265.80053389468</v>
      </c>
      <c r="J389" s="340">
        <f t="shared" si="142"/>
        <v>1.5707922495856084</v>
      </c>
      <c r="K389" s="348">
        <f t="shared" si="158"/>
        <v>5.7213886602973654</v>
      </c>
      <c r="L389" s="349">
        <f t="shared" si="159"/>
        <v>1.3951112171460744</v>
      </c>
      <c r="M389" s="337">
        <f t="shared" si="143"/>
        <v>1.0005539119842615</v>
      </c>
      <c r="N389" s="340">
        <f t="shared" si="144"/>
        <v>3.327631058230382E-2</v>
      </c>
      <c r="O389" s="341">
        <f t="shared" si="145"/>
        <v>1.000223492714799</v>
      </c>
      <c r="P389" s="342">
        <f t="shared" si="146"/>
        <v>5.0296328766086959E-2</v>
      </c>
      <c r="Q389" s="343">
        <f t="shared" si="147"/>
        <v>-1.3498928501751906</v>
      </c>
      <c r="R389" s="344">
        <f t="shared" si="148"/>
        <v>-43.327448235209133</v>
      </c>
      <c r="S389" s="346">
        <f t="shared" si="149"/>
        <v>136.67255176479085</v>
      </c>
      <c r="U389" s="319">
        <f t="shared" si="155"/>
        <v>33884</v>
      </c>
      <c r="V389" s="319">
        <f t="shared" si="156"/>
        <v>1148125456</v>
      </c>
      <c r="X389" s="345">
        <f t="shared" si="150"/>
        <v>5.0597036295995395</v>
      </c>
      <c r="Y389" s="346">
        <f t="shared" si="151"/>
        <v>-11.972373867099153</v>
      </c>
      <c r="AA389" s="345">
        <f t="shared" si="152"/>
        <v>31.808370533571534</v>
      </c>
      <c r="AB389" s="346">
        <f t="shared" si="153"/>
        <v>-31.355074368109982</v>
      </c>
      <c r="AD389">
        <f t="shared" si="157"/>
        <v>0</v>
      </c>
      <c r="AE389">
        <f t="shared" si="160"/>
        <v>0</v>
      </c>
    </row>
    <row r="390" spans="1:31" x14ac:dyDescent="0.2">
      <c r="A390" s="347">
        <v>34081.5</v>
      </c>
      <c r="B390" s="364">
        <f t="shared" si="154"/>
        <v>34.081499999999998</v>
      </c>
      <c r="C390" s="337">
        <f t="shared" si="135"/>
        <v>1.1403672148021762</v>
      </c>
      <c r="D390" s="338">
        <f t="shared" si="136"/>
        <v>0.50139998490918003</v>
      </c>
      <c r="E390" s="338">
        <f t="shared" si="137"/>
        <v>1.0000020259205458</v>
      </c>
      <c r="F390" s="339">
        <f t="shared" si="138"/>
        <v>2.0129168514654433E-3</v>
      </c>
      <c r="G390" s="338">
        <f t="shared" si="139"/>
        <v>1</v>
      </c>
      <c r="H390" s="339">
        <f t="shared" si="140"/>
        <v>0</v>
      </c>
      <c r="I390" s="337">
        <f t="shared" si="141"/>
        <v>246695.38368832276</v>
      </c>
      <c r="J390" s="340">
        <f t="shared" si="142"/>
        <v>1.5707922732127619</v>
      </c>
      <c r="K390" s="348">
        <f t="shared" si="158"/>
        <v>5.7537210782470183</v>
      </c>
      <c r="L390" s="349">
        <f t="shared" si="159"/>
        <v>1.3961086567862766</v>
      </c>
      <c r="M390" s="337">
        <f t="shared" si="143"/>
        <v>1.0005603861735957</v>
      </c>
      <c r="N390" s="340">
        <f t="shared" si="144"/>
        <v>3.3470124134496015E-2</v>
      </c>
      <c r="O390" s="341">
        <f t="shared" si="145"/>
        <v>1.0002261117728997</v>
      </c>
      <c r="P390" s="342">
        <f t="shared" si="146"/>
        <v>5.0589608513623908E-2</v>
      </c>
      <c r="Q390" s="343">
        <f t="shared" si="147"/>
        <v>-1.3631154738979234</v>
      </c>
      <c r="R390" s="344">
        <f t="shared" si="148"/>
        <v>-43.437673271809288</v>
      </c>
      <c r="S390" s="346">
        <f t="shared" si="149"/>
        <v>136.56232672819073</v>
      </c>
      <c r="U390" s="319">
        <f t="shared" si="155"/>
        <v>34081.5</v>
      </c>
      <c r="V390" s="319">
        <f t="shared" si="156"/>
        <v>1161548642.25</v>
      </c>
      <c r="X390" s="345">
        <f t="shared" si="150"/>
        <v>5.058113953247898</v>
      </c>
      <c r="Y390" s="346">
        <f t="shared" si="151"/>
        <v>-11.926330837633154</v>
      </c>
      <c r="AA390" s="345">
        <f t="shared" si="152"/>
        <v>31.796737586200443</v>
      </c>
      <c r="AB390" s="346">
        <f t="shared" si="153"/>
        <v>-31.511342434176157</v>
      </c>
      <c r="AD390">
        <f t="shared" si="157"/>
        <v>0</v>
      </c>
      <c r="AE390">
        <f t="shared" si="160"/>
        <v>0</v>
      </c>
    </row>
    <row r="391" spans="1:31" x14ac:dyDescent="0.2">
      <c r="A391" s="347">
        <v>34279</v>
      </c>
      <c r="B391" s="364">
        <f t="shared" si="154"/>
        <v>34.279000000000003</v>
      </c>
      <c r="C391" s="337">
        <f t="shared" si="135"/>
        <v>1.1418973257376057</v>
      </c>
      <c r="D391" s="338">
        <f t="shared" si="136"/>
        <v>0.50383922212416166</v>
      </c>
      <c r="E391" s="338">
        <f t="shared" si="137"/>
        <v>1.0000020494687012</v>
      </c>
      <c r="F391" s="339">
        <f t="shared" si="138"/>
        <v>2.0245815374369735E-3</v>
      </c>
      <c r="G391" s="338">
        <f t="shared" si="139"/>
        <v>1</v>
      </c>
      <c r="H391" s="339">
        <f t="shared" si="140"/>
        <v>0</v>
      </c>
      <c r="I391" s="337">
        <f t="shared" si="141"/>
        <v>248124.96684275102</v>
      </c>
      <c r="J391" s="340">
        <f t="shared" si="142"/>
        <v>1.5707922965676577</v>
      </c>
      <c r="K391" s="348">
        <f t="shared" si="158"/>
        <v>5.7860591565144066</v>
      </c>
      <c r="L391" s="349">
        <f t="shared" si="159"/>
        <v>1.3970949480894559</v>
      </c>
      <c r="M391" s="337">
        <f t="shared" si="143"/>
        <v>1.0005668979471856</v>
      </c>
      <c r="N391" s="340">
        <f t="shared" si="144"/>
        <v>3.3663935171258576E-2</v>
      </c>
      <c r="O391" s="341">
        <f t="shared" si="145"/>
        <v>1.0002287461949482</v>
      </c>
      <c r="P391" s="342">
        <f t="shared" si="146"/>
        <v>5.0882890298131284E-2</v>
      </c>
      <c r="Q391" s="343">
        <f t="shared" si="147"/>
        <v>-1.3763489048390221</v>
      </c>
      <c r="R391" s="344">
        <f t="shared" si="148"/>
        <v>-43.548162304293946</v>
      </c>
      <c r="S391" s="346">
        <f t="shared" si="149"/>
        <v>136.45183769570605</v>
      </c>
      <c r="U391" s="319">
        <f t="shared" si="155"/>
        <v>34279</v>
      </c>
      <c r="V391" s="319">
        <f t="shared" si="156"/>
        <v>1175049841</v>
      </c>
      <c r="X391" s="345">
        <f t="shared" si="150"/>
        <v>5.0565498523636201</v>
      </c>
      <c r="Y391" s="346">
        <f t="shared" si="151"/>
        <v>-11.880926401105148</v>
      </c>
      <c r="AA391" s="345">
        <f t="shared" si="152"/>
        <v>31.785068256143624</v>
      </c>
      <c r="AB391" s="346">
        <f t="shared" si="153"/>
        <v>-31.667235903188804</v>
      </c>
      <c r="AD391">
        <f t="shared" si="157"/>
        <v>0</v>
      </c>
      <c r="AE391">
        <f t="shared" si="160"/>
        <v>0</v>
      </c>
    </row>
    <row r="392" spans="1:31" x14ac:dyDescent="0.2">
      <c r="A392" s="347">
        <v>34476.5</v>
      </c>
      <c r="B392" s="364">
        <f t="shared" si="154"/>
        <v>34.476500000000001</v>
      </c>
      <c r="C392" s="337">
        <f t="shared" si="135"/>
        <v>1.1434342126160111</v>
      </c>
      <c r="D392" s="338">
        <f t="shared" si="136"/>
        <v>0.50627191663655424</v>
      </c>
      <c r="E392" s="338">
        <f t="shared" si="137"/>
        <v>1.0000020731529216</v>
      </c>
      <c r="F392" s="339">
        <f t="shared" si="138"/>
        <v>2.0362462228575543E-3</v>
      </c>
      <c r="G392" s="338">
        <f t="shared" si="139"/>
        <v>1</v>
      </c>
      <c r="H392" s="339">
        <f t="shared" si="140"/>
        <v>0</v>
      </c>
      <c r="I392" s="337">
        <f t="shared" si="141"/>
        <v>249554.54999717936</v>
      </c>
      <c r="J392" s="340">
        <f t="shared" si="142"/>
        <v>1.5707923196549747</v>
      </c>
      <c r="K392" s="348">
        <f t="shared" si="158"/>
        <v>5.8184028007211577</v>
      </c>
      <c r="L392" s="349">
        <f t="shared" si="159"/>
        <v>1.3980702750364571</v>
      </c>
      <c r="M392" s="337">
        <f t="shared" si="143"/>
        <v>1.000573447304298</v>
      </c>
      <c r="N392" s="340">
        <f t="shared" si="144"/>
        <v>3.3857743678080601E-2</v>
      </c>
      <c r="O392" s="341">
        <f t="shared" si="145"/>
        <v>1.0002313959834219</v>
      </c>
      <c r="P392" s="342">
        <f t="shared" si="146"/>
        <v>5.1176174131303445E-2</v>
      </c>
      <c r="Q392" s="343">
        <f t="shared" si="147"/>
        <v>-1.3895933463269596</v>
      </c>
      <c r="R392" s="344">
        <f t="shared" si="148"/>
        <v>-43.65890463599338</v>
      </c>
      <c r="S392" s="346">
        <f t="shared" si="149"/>
        <v>136.34109536400661</v>
      </c>
      <c r="U392" s="319">
        <f t="shared" si="155"/>
        <v>34476.5</v>
      </c>
      <c r="V392" s="319">
        <f t="shared" si="156"/>
        <v>1188629052.25</v>
      </c>
      <c r="X392" s="345">
        <f t="shared" si="150"/>
        <v>5.0550107497435306</v>
      </c>
      <c r="Y392" s="346">
        <f t="shared" si="151"/>
        <v>-11.836150015625892</v>
      </c>
      <c r="AA392" s="345">
        <f t="shared" si="152"/>
        <v>31.773362917275772</v>
      </c>
      <c r="AB392" s="346">
        <f t="shared" si="153"/>
        <v>-31.82275462036748</v>
      </c>
      <c r="AD392">
        <f t="shared" si="157"/>
        <v>0</v>
      </c>
      <c r="AE392">
        <f t="shared" si="160"/>
        <v>0</v>
      </c>
    </row>
    <row r="393" spans="1:31" x14ac:dyDescent="0.2">
      <c r="A393" s="347">
        <v>34674</v>
      </c>
      <c r="B393" s="364">
        <f t="shared" si="154"/>
        <v>34.673999999999999</v>
      </c>
      <c r="C393" s="337">
        <f t="shared" si="135"/>
        <v>1.1449778481516482</v>
      </c>
      <c r="D393" s="338">
        <f t="shared" si="136"/>
        <v>0.50869806605752199</v>
      </c>
      <c r="E393" s="338">
        <f t="shared" si="137"/>
        <v>1.0000020969732075</v>
      </c>
      <c r="F393" s="339">
        <f t="shared" si="138"/>
        <v>2.0479109077240105E-3</v>
      </c>
      <c r="G393" s="338">
        <f t="shared" si="139"/>
        <v>1</v>
      </c>
      <c r="H393" s="339">
        <f t="shared" si="140"/>
        <v>0</v>
      </c>
      <c r="I393" s="337">
        <f t="shared" si="141"/>
        <v>250984.13315160785</v>
      </c>
      <c r="J393" s="340">
        <f t="shared" si="142"/>
        <v>1.5707923424792849</v>
      </c>
      <c r="K393" s="348">
        <f t="shared" si="158"/>
        <v>5.8507519185597712</v>
      </c>
      <c r="L393" s="349">
        <f t="shared" si="159"/>
        <v>1.3990348176236609</v>
      </c>
      <c r="M393" s="337">
        <f t="shared" si="143"/>
        <v>1.0005800342441944</v>
      </c>
      <c r="N393" s="340">
        <f t="shared" si="144"/>
        <v>3.4051549640452351E-2</v>
      </c>
      <c r="O393" s="341">
        <f t="shared" si="145"/>
        <v>1.0002340611408131</v>
      </c>
      <c r="P393" s="342">
        <f t="shared" si="146"/>
        <v>5.1469460024832846E-2</v>
      </c>
      <c r="Q393" s="343">
        <f t="shared" si="147"/>
        <v>-1.4028489871195196</v>
      </c>
      <c r="R393" s="344">
        <f t="shared" si="148"/>
        <v>-43.769889817105124</v>
      </c>
      <c r="S393" s="346">
        <f t="shared" si="149"/>
        <v>136.23011018289486</v>
      </c>
      <c r="U393" s="319">
        <f t="shared" si="155"/>
        <v>34674</v>
      </c>
      <c r="V393" s="319">
        <f t="shared" si="156"/>
        <v>1202286276</v>
      </c>
      <c r="X393" s="345">
        <f t="shared" si="150"/>
        <v>5.0534960840969898</v>
      </c>
      <c r="Y393" s="346">
        <f t="shared" si="151"/>
        <v>-11.791991367593038</v>
      </c>
      <c r="AA393" s="345">
        <f t="shared" si="152"/>
        <v>31.76162194212975</v>
      </c>
      <c r="AB393" s="346">
        <f t="shared" si="153"/>
        <v>-31.977898449512075</v>
      </c>
      <c r="AD393">
        <f t="shared" si="157"/>
        <v>0</v>
      </c>
      <c r="AE393">
        <f t="shared" si="160"/>
        <v>0</v>
      </c>
    </row>
    <row r="394" spans="1:31" x14ac:dyDescent="0.2">
      <c r="A394" s="347">
        <v>34875.75</v>
      </c>
      <c r="B394" s="364">
        <f t="shared" si="154"/>
        <v>34.875749999999996</v>
      </c>
      <c r="C394" s="337">
        <f t="shared" si="135"/>
        <v>1.1465616408708321</v>
      </c>
      <c r="D394" s="338">
        <f t="shared" si="136"/>
        <v>0.51116966373617512</v>
      </c>
      <c r="E394" s="338">
        <f t="shared" si="137"/>
        <v>1.0000021214465702</v>
      </c>
      <c r="F394" s="339">
        <f t="shared" si="138"/>
        <v>2.0598266042210151E-3</v>
      </c>
      <c r="G394" s="338">
        <f t="shared" si="139"/>
        <v>1</v>
      </c>
      <c r="H394" s="339">
        <f t="shared" si="140"/>
        <v>0</v>
      </c>
      <c r="I394" s="337">
        <f t="shared" si="141"/>
        <v>252444.47948784061</v>
      </c>
      <c r="J394" s="340">
        <f t="shared" si="142"/>
        <v>1.5707923655278409</v>
      </c>
      <c r="K394" s="348">
        <f t="shared" si="158"/>
        <v>5.8838027143495824</v>
      </c>
      <c r="L394" s="349">
        <f t="shared" si="159"/>
        <v>1.4000091643578818</v>
      </c>
      <c r="M394" s="337">
        <f t="shared" si="143"/>
        <v>1.0005868017321959</v>
      </c>
      <c r="N394" s="340">
        <f t="shared" si="144"/>
        <v>3.4249523468617045E-2</v>
      </c>
      <c r="O394" s="341">
        <f t="shared" si="145"/>
        <v>1.0002367995208596</v>
      </c>
      <c r="P394" s="342">
        <f t="shared" si="146"/>
        <v>5.1769059273289252E-2</v>
      </c>
      <c r="Q394" s="343">
        <f t="shared" si="147"/>
        <v>-1.4164016208990959</v>
      </c>
      <c r="R394" s="344">
        <f t="shared" si="148"/>
        <v>-43.883503415978332</v>
      </c>
      <c r="S394" s="346">
        <f t="shared" si="149"/>
        <v>136.11649658402166</v>
      </c>
      <c r="U394" s="319">
        <f t="shared" si="155"/>
        <v>34875.75</v>
      </c>
      <c r="V394" s="319">
        <f t="shared" si="156"/>
        <v>1216317938.0625</v>
      </c>
      <c r="X394" s="345">
        <f t="shared" si="150"/>
        <v>5.0519734881940224</v>
      </c>
      <c r="Y394" s="346">
        <f t="shared" si="151"/>
        <v>-11.747509797281866</v>
      </c>
      <c r="AA394" s="345">
        <f t="shared" si="152"/>
        <v>31.749591904253144</v>
      </c>
      <c r="AB394" s="346">
        <f t="shared" si="153"/>
        <v>-32.135993618696489</v>
      </c>
      <c r="AD394">
        <f t="shared" si="157"/>
        <v>0</v>
      </c>
      <c r="AE394">
        <f t="shared" si="160"/>
        <v>0</v>
      </c>
    </row>
    <row r="395" spans="1:31" x14ac:dyDescent="0.2">
      <c r="A395" s="347">
        <v>35077.5</v>
      </c>
      <c r="B395" s="364">
        <f t="shared" si="154"/>
        <v>35.077500000000001</v>
      </c>
      <c r="C395" s="337">
        <f t="shared" si="135"/>
        <v>1.148152418351893</v>
      </c>
      <c r="D395" s="338">
        <f t="shared" si="136"/>
        <v>0.51363442758673783</v>
      </c>
      <c r="E395" s="338">
        <f t="shared" si="137"/>
        <v>1.0000021460619171</v>
      </c>
      <c r="F395" s="339">
        <f t="shared" si="138"/>
        <v>2.0717423001330943E-3</v>
      </c>
      <c r="G395" s="338">
        <f t="shared" si="139"/>
        <v>1</v>
      </c>
      <c r="H395" s="339">
        <f t="shared" si="140"/>
        <v>0</v>
      </c>
      <c r="I395" s="337">
        <f t="shared" si="141"/>
        <v>253904.82582407354</v>
      </c>
      <c r="J395" s="340">
        <f t="shared" si="142"/>
        <v>1.5707923883112669</v>
      </c>
      <c r="K395" s="348">
        <f t="shared" si="158"/>
        <v>5.9168590335305415</v>
      </c>
      <c r="L395" s="349">
        <f t="shared" si="159"/>
        <v>1.4009726250339325</v>
      </c>
      <c r="M395" s="337">
        <f t="shared" si="143"/>
        <v>1.0005936084363021</v>
      </c>
      <c r="N395" s="340">
        <f t="shared" si="144"/>
        <v>3.4447494611041199E-2</v>
      </c>
      <c r="O395" s="341">
        <f t="shared" si="145"/>
        <v>1.000239553943689</v>
      </c>
      <c r="P395" s="342">
        <f t="shared" si="146"/>
        <v>5.2068660696389171E-2</v>
      </c>
      <c r="Q395" s="343">
        <f t="shared" si="147"/>
        <v>-1.4299662951460232</v>
      </c>
      <c r="R395" s="344">
        <f t="shared" si="148"/>
        <v>-43.997349146092041</v>
      </c>
      <c r="S395" s="346">
        <f t="shared" si="149"/>
        <v>136.00265085390797</v>
      </c>
      <c r="U395" s="319">
        <f t="shared" si="155"/>
        <v>35077.5</v>
      </c>
      <c r="V395" s="319">
        <f t="shared" si="156"/>
        <v>1230431006.25</v>
      </c>
      <c r="X395" s="345">
        <f t="shared" si="150"/>
        <v>5.0504752568414943</v>
      </c>
      <c r="Y395" s="346">
        <f t="shared" si="151"/>
        <v>-11.703651783087661</v>
      </c>
      <c r="AA395" s="345">
        <f t="shared" si="152"/>
        <v>31.737525461358743</v>
      </c>
      <c r="AB395" s="346">
        <f t="shared" si="153"/>
        <v>-32.293697363004362</v>
      </c>
      <c r="AD395">
        <f t="shared" si="157"/>
        <v>0</v>
      </c>
      <c r="AE395">
        <f t="shared" si="160"/>
        <v>0</v>
      </c>
    </row>
    <row r="396" spans="1:31" x14ac:dyDescent="0.2">
      <c r="A396" s="347">
        <v>35279.25</v>
      </c>
      <c r="B396" s="364">
        <f t="shared" si="154"/>
        <v>35.279249999999998</v>
      </c>
      <c r="C396" s="337">
        <f t="shared" si="135"/>
        <v>1.1497501516027879</v>
      </c>
      <c r="D396" s="338">
        <f t="shared" si="136"/>
        <v>0.51609235608978921</v>
      </c>
      <c r="E396" s="338">
        <f t="shared" si="137"/>
        <v>1.0000021708192479</v>
      </c>
      <c r="F396" s="339">
        <f t="shared" si="138"/>
        <v>2.083657995456865E-3</v>
      </c>
      <c r="G396" s="338">
        <f t="shared" si="139"/>
        <v>1</v>
      </c>
      <c r="H396" s="339">
        <f t="shared" si="140"/>
        <v>0</v>
      </c>
      <c r="I396" s="337">
        <f t="shared" si="141"/>
        <v>255365.1721603066</v>
      </c>
      <c r="J396" s="340">
        <f t="shared" si="142"/>
        <v>1.5707924108341118</v>
      </c>
      <c r="K396" s="348">
        <f t="shared" si="158"/>
        <v>5.9499207840427761</v>
      </c>
      <c r="L396" s="349">
        <f t="shared" si="159"/>
        <v>1.4019253793187856</v>
      </c>
      <c r="M396" s="337">
        <f t="shared" si="143"/>
        <v>1.0006004543557117</v>
      </c>
      <c r="N396" s="340">
        <f t="shared" si="144"/>
        <v>3.4645463052261787E-2</v>
      </c>
      <c r="O396" s="341">
        <f t="shared" si="145"/>
        <v>1.0002423244120042</v>
      </c>
      <c r="P396" s="342">
        <f t="shared" si="146"/>
        <v>5.2368264306589994E-2</v>
      </c>
      <c r="Q396" s="343">
        <f t="shared" si="147"/>
        <v>-1.4435431674114674</v>
      </c>
      <c r="R396" s="344">
        <f t="shared" si="148"/>
        <v>-44.11141662631907</v>
      </c>
      <c r="S396" s="346">
        <f t="shared" si="149"/>
        <v>135.88858337368094</v>
      </c>
      <c r="U396" s="319">
        <f t="shared" si="155"/>
        <v>35279.25</v>
      </c>
      <c r="V396" s="319">
        <f t="shared" si="156"/>
        <v>1244625480.5625</v>
      </c>
      <c r="X396" s="345">
        <f t="shared" si="150"/>
        <v>5.0490008398501054</v>
      </c>
      <c r="Y396" s="346">
        <f t="shared" si="151"/>
        <v>-11.660407030225837</v>
      </c>
      <c r="AA396" s="345">
        <f t="shared" si="152"/>
        <v>31.725423006084689</v>
      </c>
      <c r="AB396" s="346">
        <f t="shared" si="153"/>
        <v>-32.45100959609325</v>
      </c>
      <c r="AD396">
        <f t="shared" si="157"/>
        <v>0</v>
      </c>
      <c r="AE396">
        <f t="shared" si="160"/>
        <v>0</v>
      </c>
    </row>
    <row r="397" spans="1:31" x14ac:dyDescent="0.2">
      <c r="A397" s="347">
        <v>35481</v>
      </c>
      <c r="B397" s="364">
        <f t="shared" si="154"/>
        <v>35.481000000000002</v>
      </c>
      <c r="C397" s="337">
        <f t="shared" ref="C397:C460" si="161">SQRT(1+(A397/pole1)^2)</f>
        <v>1.1513548116659853</v>
      </c>
      <c r="D397" s="338">
        <f t="shared" ref="D397:D460" si="162">ATAN(A397/pole1)</f>
        <v>0.51854344806468244</v>
      </c>
      <c r="E397" s="338">
        <f t="shared" ref="E397:E460" si="163">SQRT(1+(A397/Zero1)^2)</f>
        <v>1.0000021957185632</v>
      </c>
      <c r="F397" s="339">
        <f t="shared" ref="F397:F460" si="164">ATAN(A397/Zero1)</f>
        <v>2.0955736901889432E-3</v>
      </c>
      <c r="G397" s="338">
        <f t="shared" ref="G397:G460" si="165">IF(VIN_nom&gt;Vout, 1, SQRT(1+(A397/z_RHP)^2))</f>
        <v>1</v>
      </c>
      <c r="H397" s="339">
        <f t="shared" ref="H397:H460" si="166">IF(VIN_nom&gt;Vout, 0, -ATAN(A397/z_RHP))</f>
        <v>0</v>
      </c>
      <c r="I397" s="337">
        <f t="shared" ref="I397:I460" si="167">SQRT(1+(A397/Pole2)^2)</f>
        <v>256825.51849653973</v>
      </c>
      <c r="J397" s="340">
        <f t="shared" ref="J397:J460" si="168">ATAN(A397/Pole2)</f>
        <v>1.5707924331008203</v>
      </c>
      <c r="K397" s="348">
        <f t="shared" si="158"/>
        <v>5.9829878758463328</v>
      </c>
      <c r="L397" s="349">
        <f t="shared" si="159"/>
        <v>1.4028676029861737</v>
      </c>
      <c r="M397" s="337">
        <f t="shared" ref="M397:M460" si="169">SQRT(1+(A397/pole4)^2)</f>
        <v>1.0006073394896204</v>
      </c>
      <c r="N397" s="340">
        <f t="shared" ref="N397:N460" si="170">ATAN(A397/pole4)</f>
        <v>3.4843428776817065E-2</v>
      </c>
      <c r="O397" s="341">
        <f t="shared" ref="O397:O460" si="171">SQRT((1-(V397/pterm2))^2+(A397/pterm1)^2)</f>
        <v>1.0002451109285229</v>
      </c>
      <c r="P397" s="342">
        <f t="shared" ref="P397:P460" si="172">IF((ATAN((A397/pterm1)/(1-A397^2/pterm2))&gt;0),ATAN((A397/pterm1)/(1-A397^2/pterm2)),PI()+ATAN((A397/pterm1)/(1-A397^2/pterm2)))</f>
        <v>5.2667870116347007E-2</v>
      </c>
      <c r="Q397" s="343">
        <f t="shared" ref="Q397:Q460" si="173">20*LOG10(((E397*K397*G397)/(C397*I397*O397*M397))*Adc)</f>
        <v>-1.4571323816308559</v>
      </c>
      <c r="R397" s="344">
        <f t="shared" ref="R397:R460" si="174">((F397+L397+H397)-(D397+J397+P397+N397))*radconv</f>
        <v>-44.225695718003003</v>
      </c>
      <c r="S397" s="346">
        <f t="shared" ref="S397:S460" si="175">IF(R397&gt;0,R397,R397+180)</f>
        <v>135.77430428199699</v>
      </c>
      <c r="U397" s="319">
        <f t="shared" si="155"/>
        <v>35481</v>
      </c>
      <c r="V397" s="319">
        <f t="shared" si="156"/>
        <v>1258901361</v>
      </c>
      <c r="X397" s="345">
        <f t="shared" ref="X397:X460" si="176">20*LOG10((K397/(I397*M397))*AEA)</f>
        <v>5.0475497021922777</v>
      </c>
      <c r="Y397" s="346">
        <f t="shared" ref="Y397:Y460" si="177">(L397-(J397+N397))*radconv</f>
        <v>-11.617765466972127</v>
      </c>
      <c r="AA397" s="345">
        <f t="shared" ref="AA397:AA460" si="178">20*LOG10((E397*G397/(C397*O397))*Acs*Am)</f>
        <v>31.713284929523127</v>
      </c>
      <c r="AB397" s="346">
        <f t="shared" ref="AB397:AB460" si="179">(F397+H397-(D397+P397))*radconv</f>
        <v>-32.607930251030879</v>
      </c>
      <c r="AD397">
        <f t="shared" si="157"/>
        <v>0</v>
      </c>
      <c r="AE397">
        <f t="shared" si="160"/>
        <v>0</v>
      </c>
    </row>
    <row r="398" spans="1:31" x14ac:dyDescent="0.2">
      <c r="A398" s="347">
        <v>35687.75</v>
      </c>
      <c r="B398" s="364">
        <f t="shared" ref="B398:B461" si="180">A398/1000</f>
        <v>35.687750000000001</v>
      </c>
      <c r="C398" s="337">
        <f t="shared" si="161"/>
        <v>1.1530063964448243</v>
      </c>
      <c r="D398" s="338">
        <f t="shared" si="162"/>
        <v>0.52104819215743592</v>
      </c>
      <c r="E398" s="338">
        <f t="shared" si="163"/>
        <v>1.0000022213822675</v>
      </c>
      <c r="F398" s="339">
        <f t="shared" si="164"/>
        <v>2.1077846927232431E-3</v>
      </c>
      <c r="G398" s="338">
        <f t="shared" si="165"/>
        <v>1</v>
      </c>
      <c r="H398" s="339">
        <f t="shared" si="166"/>
        <v>0</v>
      </c>
      <c r="I398" s="337">
        <f t="shared" si="167"/>
        <v>258322.0568113662</v>
      </c>
      <c r="J398" s="340">
        <f t="shared" si="168"/>
        <v>1.5707924556581754</v>
      </c>
      <c r="K398" s="348">
        <f t="shared" si="158"/>
        <v>6.0168799236364423</v>
      </c>
      <c r="L398" s="349">
        <f t="shared" si="159"/>
        <v>1.4038224324780295</v>
      </c>
      <c r="M398" s="337">
        <f t="shared" si="169"/>
        <v>1.0006144359423013</v>
      </c>
      <c r="N398" s="340">
        <f t="shared" si="170"/>
        <v>3.5046297880452597E-2</v>
      </c>
      <c r="O398" s="341">
        <f t="shared" si="171"/>
        <v>1.0002479831562701</v>
      </c>
      <c r="P398" s="342">
        <f t="shared" si="172"/>
        <v>5.2974903396093252E-2</v>
      </c>
      <c r="Q398" s="343">
        <f t="shared" si="173"/>
        <v>-1.47107132068215</v>
      </c>
      <c r="R398" s="344">
        <f t="shared" si="174"/>
        <v>-44.343016191438053</v>
      </c>
      <c r="S398" s="346">
        <f t="shared" si="175"/>
        <v>135.65698380856196</v>
      </c>
      <c r="U398" s="319">
        <f t="shared" ref="U398:U461" si="181">IF(Q398&lt;0,A398,1000000000)</f>
        <v>35687.75</v>
      </c>
      <c r="V398" s="319">
        <f t="shared" ref="V398:V461" si="182">A398^2</f>
        <v>1273615500.0625</v>
      </c>
      <c r="X398" s="345">
        <f t="shared" si="176"/>
        <v>5.0460862084277256</v>
      </c>
      <c r="Y398" s="346">
        <f t="shared" si="177"/>
        <v>-11.574682602758104</v>
      </c>
      <c r="AA398" s="345">
        <f t="shared" si="178"/>
        <v>31.700809484236387</v>
      </c>
      <c r="AB398" s="346">
        <f t="shared" si="179"/>
        <v>-32.768333588679951</v>
      </c>
      <c r="AD398">
        <f t="shared" ref="AD398:AD461" si="183">SUM((Q399&lt;0)*(Q398&gt;0))*A398</f>
        <v>0</v>
      </c>
      <c r="AE398">
        <f t="shared" si="160"/>
        <v>0</v>
      </c>
    </row>
    <row r="399" spans="1:31" x14ac:dyDescent="0.2">
      <c r="A399" s="347">
        <v>35894.5</v>
      </c>
      <c r="B399" s="364">
        <f t="shared" si="180"/>
        <v>35.894500000000001</v>
      </c>
      <c r="C399" s="337">
        <f t="shared" si="161"/>
        <v>1.1546651941695427</v>
      </c>
      <c r="D399" s="338">
        <f t="shared" si="162"/>
        <v>0.52354575522634994</v>
      </c>
      <c r="E399" s="338">
        <f t="shared" si="163"/>
        <v>1.0000022471950809</v>
      </c>
      <c r="F399" s="339">
        <f t="shared" si="164"/>
        <v>2.1199956946289641E-3</v>
      </c>
      <c r="G399" s="338">
        <f t="shared" si="165"/>
        <v>1</v>
      </c>
      <c r="H399" s="339">
        <f t="shared" si="166"/>
        <v>0</v>
      </c>
      <c r="I399" s="337">
        <f t="shared" si="167"/>
        <v>259818.59512619273</v>
      </c>
      <c r="J399" s="340">
        <f t="shared" si="168"/>
        <v>1.5707924779556728</v>
      </c>
      <c r="K399" s="348">
        <f t="shared" si="158"/>
        <v>6.050777395556711</v>
      </c>
      <c r="L399" s="349">
        <f t="shared" si="159"/>
        <v>1.4047665645920497</v>
      </c>
      <c r="M399" s="337">
        <f t="shared" si="169"/>
        <v>1.0006215735755577</v>
      </c>
      <c r="N399" s="340">
        <f t="shared" si="170"/>
        <v>3.5249164098225622E-2</v>
      </c>
      <c r="O399" s="341">
        <f t="shared" si="171"/>
        <v>1.000250872243357</v>
      </c>
      <c r="P399" s="342">
        <f t="shared" si="172"/>
        <v>5.3281939012248418E-2</v>
      </c>
      <c r="Q399" s="343">
        <f t="shared" si="173"/>
        <v>-1.4850234854416722</v>
      </c>
      <c r="R399" s="344">
        <f t="shared" si="174"/>
        <v>-44.460538090782464</v>
      </c>
      <c r="S399" s="346">
        <f t="shared" si="175"/>
        <v>135.53946190921755</v>
      </c>
      <c r="U399" s="319">
        <f t="shared" si="181"/>
        <v>35894.5</v>
      </c>
      <c r="V399" s="319">
        <f t="shared" si="182"/>
        <v>1288415130.25</v>
      </c>
      <c r="X399" s="345">
        <f t="shared" si="176"/>
        <v>5.0446460711879588</v>
      </c>
      <c r="Y399" s="346">
        <f t="shared" si="177"/>
        <v>-11.532212472910114</v>
      </c>
      <c r="AA399" s="345">
        <f t="shared" si="178"/>
        <v>31.688297456716626</v>
      </c>
      <c r="AB399" s="346">
        <f t="shared" si="179"/>
        <v>-32.928325617872346</v>
      </c>
      <c r="AD399">
        <f t="shared" si="183"/>
        <v>0</v>
      </c>
      <c r="AE399">
        <f t="shared" si="160"/>
        <v>0</v>
      </c>
    </row>
    <row r="400" spans="1:31" x14ac:dyDescent="0.2">
      <c r="A400" s="347">
        <v>36101.25</v>
      </c>
      <c r="B400" s="364">
        <f t="shared" si="180"/>
        <v>36.10125</v>
      </c>
      <c r="C400" s="337">
        <f t="shared" si="161"/>
        <v>1.1563311737984674</v>
      </c>
      <c r="D400" s="338">
        <f t="shared" si="162"/>
        <v>0.52603613708411034</v>
      </c>
      <c r="E400" s="338">
        <f t="shared" si="163"/>
        <v>1.0000022731570031</v>
      </c>
      <c r="F400" s="339">
        <f t="shared" si="164"/>
        <v>2.1322066959024648E-3</v>
      </c>
      <c r="G400" s="338">
        <f t="shared" si="165"/>
        <v>1</v>
      </c>
      <c r="H400" s="339">
        <f t="shared" si="166"/>
        <v>0</v>
      </c>
      <c r="I400" s="337">
        <f t="shared" si="167"/>
        <v>261315.13344101945</v>
      </c>
      <c r="J400" s="340">
        <f t="shared" si="168"/>
        <v>1.5707924999977769</v>
      </c>
      <c r="K400" s="348">
        <f t="shared" si="158"/>
        <v>6.0846802009544039</v>
      </c>
      <c r="L400" s="349">
        <f t="shared" si="159"/>
        <v>1.4057001764427621</v>
      </c>
      <c r="M400" s="337">
        <f t="shared" si="169"/>
        <v>1.0006287523885087</v>
      </c>
      <c r="N400" s="340">
        <f t="shared" si="170"/>
        <v>3.5452027413500266E-2</v>
      </c>
      <c r="O400" s="341">
        <f t="shared" si="171"/>
        <v>1.0002537781927594</v>
      </c>
      <c r="P400" s="342">
        <f t="shared" si="172"/>
        <v>5.3588976978209954E-2</v>
      </c>
      <c r="Q400" s="343">
        <f t="shared" si="173"/>
        <v>-1.4989889896340156</v>
      </c>
      <c r="R400" s="344">
        <f t="shared" si="174"/>
        <v>-44.578251257459449</v>
      </c>
      <c r="S400" s="346">
        <f t="shared" si="175"/>
        <v>135.42174874254056</v>
      </c>
      <c r="U400" s="319">
        <f t="shared" si="181"/>
        <v>36101.25</v>
      </c>
      <c r="V400" s="319">
        <f t="shared" si="182"/>
        <v>1303300251.5625</v>
      </c>
      <c r="X400" s="345">
        <f t="shared" si="176"/>
        <v>5.0432287610359827</v>
      </c>
      <c r="Y400" s="346">
        <f t="shared" si="177"/>
        <v>-11.490344928815864</v>
      </c>
      <c r="AA400" s="345">
        <f t="shared" si="178"/>
        <v>31.675749262676263</v>
      </c>
      <c r="AB400" s="346">
        <f t="shared" si="179"/>
        <v>-33.087906328643598</v>
      </c>
      <c r="AD400">
        <f t="shared" si="183"/>
        <v>0</v>
      </c>
      <c r="AE400">
        <f t="shared" si="160"/>
        <v>0</v>
      </c>
    </row>
    <row r="401" spans="1:31" x14ac:dyDescent="0.2">
      <c r="A401" s="347">
        <v>36308</v>
      </c>
      <c r="B401" s="364">
        <f t="shared" si="180"/>
        <v>36.308</v>
      </c>
      <c r="C401" s="337">
        <f t="shared" si="161"/>
        <v>1.158004304334548</v>
      </c>
      <c r="D401" s="338">
        <f t="shared" si="162"/>
        <v>0.52851933790077976</v>
      </c>
      <c r="E401" s="338">
        <f t="shared" si="163"/>
        <v>1.0000022992680342</v>
      </c>
      <c r="F401" s="339">
        <f t="shared" si="164"/>
        <v>2.1444176965401043E-3</v>
      </c>
      <c r="G401" s="338">
        <f t="shared" si="165"/>
        <v>1</v>
      </c>
      <c r="H401" s="339">
        <f t="shared" si="166"/>
        <v>0</v>
      </c>
      <c r="I401" s="337">
        <f t="shared" si="167"/>
        <v>262811.6717558463</v>
      </c>
      <c r="J401" s="340">
        <f t="shared" si="168"/>
        <v>1.5707925217888505</v>
      </c>
      <c r="K401" s="348">
        <f t="shared" si="158"/>
        <v>6.1185882511718912</v>
      </c>
      <c r="L401" s="349">
        <f t="shared" si="159"/>
        <v>1.4066234412928429</v>
      </c>
      <c r="M401" s="337">
        <f t="shared" si="169"/>
        <v>1.0006359723802678</v>
      </c>
      <c r="N401" s="340">
        <f t="shared" si="170"/>
        <v>3.5654887809642093E-2</v>
      </c>
      <c r="O401" s="341">
        <f t="shared" si="171"/>
        <v>1.0002567010074706</v>
      </c>
      <c r="P401" s="342">
        <f t="shared" si="172"/>
        <v>5.3896017307372958E-2</v>
      </c>
      <c r="Q401" s="343">
        <f t="shared" si="173"/>
        <v>-1.5129679341458979</v>
      </c>
      <c r="R401" s="344">
        <f t="shared" si="174"/>
        <v>-44.696145774057349</v>
      </c>
      <c r="S401" s="346">
        <f t="shared" si="175"/>
        <v>135.30385422594264</v>
      </c>
      <c r="U401" s="319">
        <f t="shared" si="181"/>
        <v>36308</v>
      </c>
      <c r="V401" s="319">
        <f t="shared" si="182"/>
        <v>1318270864</v>
      </c>
      <c r="X401" s="345">
        <f t="shared" si="176"/>
        <v>5.041833763163992</v>
      </c>
      <c r="Y401" s="346">
        <f t="shared" si="177"/>
        <v>-11.449070042552128</v>
      </c>
      <c r="AA401" s="345">
        <f t="shared" si="178"/>
        <v>31.66316531603637</v>
      </c>
      <c r="AB401" s="346">
        <f t="shared" si="179"/>
        <v>-33.247075731505248</v>
      </c>
      <c r="AD401">
        <f t="shared" si="183"/>
        <v>0</v>
      </c>
      <c r="AE401">
        <f t="shared" si="160"/>
        <v>0</v>
      </c>
    </row>
    <row r="402" spans="1:31" x14ac:dyDescent="0.2">
      <c r="A402" s="347">
        <v>36519.5</v>
      </c>
      <c r="B402" s="364">
        <f t="shared" si="180"/>
        <v>36.519500000000001</v>
      </c>
      <c r="C402" s="337">
        <f t="shared" si="161"/>
        <v>1.1597232413448957</v>
      </c>
      <c r="D402" s="338">
        <f t="shared" si="162"/>
        <v>0.53105215941940642</v>
      </c>
      <c r="E402" s="338">
        <f t="shared" si="163"/>
        <v>1.0000023261332427</v>
      </c>
      <c r="F402" s="339">
        <f t="shared" si="164"/>
        <v>2.1569092394568938E-3</v>
      </c>
      <c r="G402" s="338">
        <f t="shared" si="165"/>
        <v>1</v>
      </c>
      <c r="H402" s="339">
        <f t="shared" si="166"/>
        <v>0</v>
      </c>
      <c r="I402" s="337">
        <f t="shared" si="167"/>
        <v>264342.59245033673</v>
      </c>
      <c r="J402" s="340">
        <f t="shared" si="168"/>
        <v>1.5707925438252635</v>
      </c>
      <c r="K402" s="348">
        <f t="shared" si="158"/>
        <v>6.1532806620643798</v>
      </c>
      <c r="L402" s="349">
        <f t="shared" si="159"/>
        <v>1.4075573882029999</v>
      </c>
      <c r="M402" s="337">
        <f t="shared" si="169"/>
        <v>1.0006434008563472</v>
      </c>
      <c r="N402" s="340">
        <f t="shared" si="170"/>
        <v>3.5862405805819356E-2</v>
      </c>
      <c r="O402" s="341">
        <f t="shared" si="171"/>
        <v>1.0002597084268099</v>
      </c>
      <c r="P402" s="342">
        <f t="shared" si="172"/>
        <v>5.4210114226665128E-2</v>
      </c>
      <c r="Q402" s="343">
        <f t="shared" si="173"/>
        <v>-1.5272820387147252</v>
      </c>
      <c r="R402" s="344">
        <f t="shared" si="174"/>
        <v>-44.816926424323533</v>
      </c>
      <c r="S402" s="346">
        <f t="shared" si="175"/>
        <v>135.18307357567647</v>
      </c>
      <c r="U402" s="319">
        <f t="shared" si="181"/>
        <v>36519.5</v>
      </c>
      <c r="V402" s="319">
        <f t="shared" si="182"/>
        <v>1333673880.25</v>
      </c>
      <c r="X402" s="345">
        <f t="shared" si="176"/>
        <v>5.0404292809270039</v>
      </c>
      <c r="Y402" s="346">
        <f t="shared" si="177"/>
        <v>-11.407449994210719</v>
      </c>
      <c r="AA402" s="345">
        <f t="shared" si="178"/>
        <v>31.650255693704533</v>
      </c>
      <c r="AB402" s="346">
        <f t="shared" si="179"/>
        <v>-33.409476430112804</v>
      </c>
      <c r="AD402">
        <f t="shared" si="183"/>
        <v>0</v>
      </c>
      <c r="AE402">
        <f t="shared" si="160"/>
        <v>0</v>
      </c>
    </row>
    <row r="403" spans="1:31" x14ac:dyDescent="0.2">
      <c r="A403" s="347">
        <v>36731</v>
      </c>
      <c r="B403" s="364">
        <f t="shared" si="180"/>
        <v>36.731000000000002</v>
      </c>
      <c r="C403" s="337">
        <f t="shared" si="161"/>
        <v>1.1614495961445963</v>
      </c>
      <c r="D403" s="338">
        <f t="shared" si="162"/>
        <v>0.53357746763066205</v>
      </c>
      <c r="E403" s="338">
        <f t="shared" si="163"/>
        <v>1.0000023531544904</v>
      </c>
      <c r="F403" s="339">
        <f t="shared" si="164"/>
        <v>2.1694007817005603E-3</v>
      </c>
      <c r="G403" s="338">
        <f t="shared" si="165"/>
        <v>1</v>
      </c>
      <c r="H403" s="339">
        <f t="shared" si="166"/>
        <v>0</v>
      </c>
      <c r="I403" s="337">
        <f t="shared" si="167"/>
        <v>265873.51314482727</v>
      </c>
      <c r="J403" s="340">
        <f t="shared" si="168"/>
        <v>1.5707925656079014</v>
      </c>
      <c r="K403" s="348">
        <f t="shared" si="158"/>
        <v>6.1879783800132193</v>
      </c>
      <c r="L403" s="349">
        <f t="shared" si="159"/>
        <v>1.4084808621103484</v>
      </c>
      <c r="M403" s="337">
        <f t="shared" si="169"/>
        <v>1.0006508724232117</v>
      </c>
      <c r="N403" s="340">
        <f t="shared" si="170"/>
        <v>3.6069920711980723E-2</v>
      </c>
      <c r="O403" s="341">
        <f t="shared" si="171"/>
        <v>1.0002627335016989</v>
      </c>
      <c r="P403" s="342">
        <f t="shared" si="172"/>
        <v>5.4524213647342966E-2</v>
      </c>
      <c r="Q403" s="343">
        <f t="shared" si="173"/>
        <v>-1.5416103828489147</v>
      </c>
      <c r="R403" s="344">
        <f t="shared" si="174"/>
        <v>-44.93787660441938</v>
      </c>
      <c r="S403" s="346">
        <f t="shared" si="175"/>
        <v>135.06212339558061</v>
      </c>
      <c r="U403" s="319">
        <f t="shared" si="181"/>
        <v>36731</v>
      </c>
      <c r="V403" s="319">
        <f t="shared" si="182"/>
        <v>1349166361</v>
      </c>
      <c r="X403" s="345">
        <f t="shared" si="176"/>
        <v>5.0390471029560864</v>
      </c>
      <c r="Y403" s="346">
        <f t="shared" si="177"/>
        <v>-11.36642981314464</v>
      </c>
      <c r="AA403" s="345">
        <f t="shared" si="178"/>
        <v>31.637309527541259</v>
      </c>
      <c r="AB403" s="346">
        <f t="shared" si="179"/>
        <v>-33.571446791274731</v>
      </c>
      <c r="AD403">
        <f t="shared" si="183"/>
        <v>0</v>
      </c>
      <c r="AE403">
        <f t="shared" si="160"/>
        <v>0</v>
      </c>
    </row>
    <row r="404" spans="1:31" x14ac:dyDescent="0.2">
      <c r="A404" s="347">
        <v>36942.5</v>
      </c>
      <c r="B404" s="364">
        <f t="shared" si="180"/>
        <v>36.942500000000003</v>
      </c>
      <c r="C404" s="337">
        <f t="shared" si="161"/>
        <v>1.1631833357060031</v>
      </c>
      <c r="D404" s="338">
        <f t="shared" si="162"/>
        <v>0.53609526385053585</v>
      </c>
      <c r="E404" s="338">
        <f t="shared" si="163"/>
        <v>1.0000023803317768</v>
      </c>
      <c r="F404" s="339">
        <f t="shared" si="164"/>
        <v>2.1818923232672046E-3</v>
      </c>
      <c r="G404" s="338">
        <f t="shared" si="165"/>
        <v>1</v>
      </c>
      <c r="H404" s="339">
        <f t="shared" si="166"/>
        <v>0</v>
      </c>
      <c r="I404" s="337">
        <f t="shared" si="167"/>
        <v>267404.43383931794</v>
      </c>
      <c r="J404" s="340">
        <f t="shared" si="168"/>
        <v>1.5707925871411232</v>
      </c>
      <c r="K404" s="348">
        <f t="shared" si="158"/>
        <v>6.2226813162418555</v>
      </c>
      <c r="L404" s="349">
        <f t="shared" si="159"/>
        <v>1.4093940366454576</v>
      </c>
      <c r="M404" s="337">
        <f t="shared" si="169"/>
        <v>1.0006583870798962</v>
      </c>
      <c r="N404" s="340">
        <f t="shared" si="170"/>
        <v>3.6277432510323414E-2</v>
      </c>
      <c r="O404" s="341">
        <f t="shared" si="171"/>
        <v>1.000265776235397</v>
      </c>
      <c r="P404" s="342">
        <f t="shared" si="172"/>
        <v>5.4838315583738292E-2</v>
      </c>
      <c r="Q404" s="343">
        <f t="shared" si="173"/>
        <v>-1.5559530360471288</v>
      </c>
      <c r="R404" s="344">
        <f t="shared" si="174"/>
        <v>-45.058986441497815</v>
      </c>
      <c r="S404" s="346">
        <f t="shared" si="175"/>
        <v>134.94101355850219</v>
      </c>
      <c r="U404" s="319">
        <f t="shared" si="181"/>
        <v>36942.5</v>
      </c>
      <c r="V404" s="319">
        <f t="shared" si="182"/>
        <v>1364748306.25</v>
      </c>
      <c r="X404" s="345">
        <f t="shared" si="176"/>
        <v>5.0376867225919808</v>
      </c>
      <c r="Y404" s="346">
        <f t="shared" si="177"/>
        <v>-11.3259995502848</v>
      </c>
      <c r="AA404" s="345">
        <f t="shared" si="178"/>
        <v>31.624327254707154</v>
      </c>
      <c r="AB404" s="346">
        <f t="shared" si="179"/>
        <v>-33.732986891213045</v>
      </c>
      <c r="AD404">
        <f t="shared" si="183"/>
        <v>0</v>
      </c>
      <c r="AE404">
        <f t="shared" si="160"/>
        <v>0</v>
      </c>
    </row>
    <row r="405" spans="1:31" x14ac:dyDescent="0.2">
      <c r="A405" s="347">
        <v>37154</v>
      </c>
      <c r="B405" s="364">
        <f t="shared" si="180"/>
        <v>37.154000000000003</v>
      </c>
      <c r="C405" s="337">
        <f t="shared" si="161"/>
        <v>1.1649244270572263</v>
      </c>
      <c r="D405" s="338">
        <f t="shared" si="162"/>
        <v>0.53860554976816333</v>
      </c>
      <c r="E405" s="338">
        <f t="shared" si="163"/>
        <v>1.0000024076651024</v>
      </c>
      <c r="F405" s="339">
        <f t="shared" si="164"/>
        <v>2.1943838641529287E-3</v>
      </c>
      <c r="G405" s="338">
        <f t="shared" si="165"/>
        <v>1</v>
      </c>
      <c r="H405" s="339">
        <f t="shared" si="166"/>
        <v>0</v>
      </c>
      <c r="I405" s="337">
        <f t="shared" si="167"/>
        <v>268935.35453380877</v>
      </c>
      <c r="J405" s="340">
        <f t="shared" si="168"/>
        <v>1.5707926084291886</v>
      </c>
      <c r="K405" s="348">
        <f t="shared" si="158"/>
        <v>6.2573893839299108</v>
      </c>
      <c r="L405" s="349">
        <f t="shared" si="159"/>
        <v>1.4102970816561486</v>
      </c>
      <c r="M405" s="337">
        <f t="shared" si="169"/>
        <v>1.0006659448254296</v>
      </c>
      <c r="N405" s="340">
        <f t="shared" si="170"/>
        <v>3.6484941183046272E-2</v>
      </c>
      <c r="O405" s="341">
        <f t="shared" si="171"/>
        <v>1.0002688366311829</v>
      </c>
      <c r="P405" s="342">
        <f t="shared" si="172"/>
        <v>5.5152420050180222E-2</v>
      </c>
      <c r="Q405" s="343">
        <f t="shared" si="173"/>
        <v>-1.5703100558437757</v>
      </c>
      <c r="R405" s="344">
        <f t="shared" si="174"/>
        <v>-45.180246300821267</v>
      </c>
      <c r="S405" s="346">
        <f t="shared" si="175"/>
        <v>134.81975369917873</v>
      </c>
      <c r="U405" s="319">
        <f t="shared" si="181"/>
        <v>37154</v>
      </c>
      <c r="V405" s="319">
        <f t="shared" si="182"/>
        <v>1380419716</v>
      </c>
      <c r="X405" s="345">
        <f t="shared" si="176"/>
        <v>5.0363476471876147</v>
      </c>
      <c r="Y405" s="346">
        <f t="shared" si="177"/>
        <v>-11.286149473292001</v>
      </c>
      <c r="AA405" s="345">
        <f t="shared" si="178"/>
        <v>31.611309310314873</v>
      </c>
      <c r="AB405" s="346">
        <f t="shared" si="179"/>
        <v>-33.894096827529275</v>
      </c>
      <c r="AD405">
        <f t="shared" si="183"/>
        <v>0</v>
      </c>
      <c r="AE405">
        <f t="shared" si="160"/>
        <v>0</v>
      </c>
    </row>
    <row r="406" spans="1:31" x14ac:dyDescent="0.2">
      <c r="A406" s="347">
        <v>37370.25</v>
      </c>
      <c r="B406" s="364">
        <f t="shared" si="180"/>
        <v>37.370249999999999</v>
      </c>
      <c r="C406" s="337">
        <f t="shared" si="161"/>
        <v>1.1667121879574542</v>
      </c>
      <c r="D406" s="338">
        <f t="shared" si="162"/>
        <v>0.5411644502081403</v>
      </c>
      <c r="E406" s="338">
        <f t="shared" si="163"/>
        <v>1.0000024357736319</v>
      </c>
      <c r="F406" s="339">
        <f t="shared" si="164"/>
        <v>2.2071559472109747E-3</v>
      </c>
      <c r="G406" s="338">
        <f t="shared" si="165"/>
        <v>1</v>
      </c>
      <c r="H406" s="339">
        <f t="shared" si="166"/>
        <v>0</v>
      </c>
      <c r="I406" s="337">
        <f t="shared" si="167"/>
        <v>270500.65760796325</v>
      </c>
      <c r="J406" s="340">
        <f t="shared" si="168"/>
        <v>1.5707926299462129</v>
      </c>
      <c r="K406" s="348">
        <f t="shared" si="158"/>
        <v>6.292882164403915</v>
      </c>
      <c r="L406" s="349">
        <f t="shared" si="159"/>
        <v>1.4112101075690962</v>
      </c>
      <c r="M406" s="337">
        <f t="shared" si="169"/>
        <v>1.0006737168578386</v>
      </c>
      <c r="N406" s="340">
        <f t="shared" si="170"/>
        <v>3.6697106965785965E-2</v>
      </c>
      <c r="O406" s="341">
        <f t="shared" si="171"/>
        <v>1.000271984024238</v>
      </c>
      <c r="P406" s="342">
        <f t="shared" si="172"/>
        <v>5.5473581503091784E-2</v>
      </c>
      <c r="Q406" s="343">
        <f t="shared" si="173"/>
        <v>-1.5850044167273414</v>
      </c>
      <c r="R406" s="344">
        <f t="shared" si="174"/>
        <v>-45.304374811052028</v>
      </c>
      <c r="S406" s="346">
        <f t="shared" si="175"/>
        <v>134.69562518894799</v>
      </c>
      <c r="U406" s="319">
        <f t="shared" si="181"/>
        <v>37370.25</v>
      </c>
      <c r="V406" s="319">
        <f t="shared" si="182"/>
        <v>1396535585.0625</v>
      </c>
      <c r="X406" s="345">
        <f t="shared" si="176"/>
        <v>5.0350000270516659</v>
      </c>
      <c r="Y406" s="346">
        <f t="shared" si="177"/>
        <v>-11.245994378590902</v>
      </c>
      <c r="AA406" s="345">
        <f t="shared" si="178"/>
        <v>31.597962569567251</v>
      </c>
      <c r="AB406" s="346">
        <f t="shared" si="179"/>
        <v>-34.058380432461156</v>
      </c>
      <c r="AD406">
        <f t="shared" si="183"/>
        <v>0</v>
      </c>
      <c r="AE406">
        <f t="shared" si="160"/>
        <v>0</v>
      </c>
    </row>
    <row r="407" spans="1:31" x14ac:dyDescent="0.2">
      <c r="A407" s="347">
        <v>37586.5</v>
      </c>
      <c r="B407" s="364">
        <f t="shared" si="180"/>
        <v>37.586500000000001</v>
      </c>
      <c r="C407" s="337">
        <f t="shared" si="161"/>
        <v>1.1685075650502217</v>
      </c>
      <c r="D407" s="338">
        <f t="shared" si="162"/>
        <v>0.54371550396095703</v>
      </c>
      <c r="E407" s="338">
        <f t="shared" si="163"/>
        <v>1.0000024640452878</v>
      </c>
      <c r="F407" s="339">
        <f t="shared" si="164"/>
        <v>2.2199280295489296E-3</v>
      </c>
      <c r="G407" s="338">
        <f t="shared" si="165"/>
        <v>1</v>
      </c>
      <c r="H407" s="339">
        <f t="shared" si="166"/>
        <v>0</v>
      </c>
      <c r="I407" s="337">
        <f t="shared" si="167"/>
        <v>272065.96068211785</v>
      </c>
      <c r="J407" s="340">
        <f t="shared" si="168"/>
        <v>1.5707926512156456</v>
      </c>
      <c r="K407" s="348">
        <f t="shared" ref="K407:K470" si="184">SQRT(1+(A407/Zero2)^2)</f>
        <v>6.3283801318818504</v>
      </c>
      <c r="L407" s="349">
        <f t="shared" ref="L407:L470" si="185">ATAN(A407/Zero2)</f>
        <v>1.4121128913017675</v>
      </c>
      <c r="M407" s="337">
        <f t="shared" si="169"/>
        <v>1.0006815339341928</v>
      </c>
      <c r="N407" s="340">
        <f t="shared" si="170"/>
        <v>3.6909269443302757E-2</v>
      </c>
      <c r="O407" s="341">
        <f t="shared" si="171"/>
        <v>1.0002751498886142</v>
      </c>
      <c r="P407" s="342">
        <f t="shared" si="172"/>
        <v>5.5794745631256616E-2</v>
      </c>
      <c r="Q407" s="343">
        <f t="shared" si="173"/>
        <v>-1.5997138821793209</v>
      </c>
      <c r="R407" s="344">
        <f t="shared" si="174"/>
        <v>-45.428640522689065</v>
      </c>
      <c r="S407" s="346">
        <f t="shared" si="175"/>
        <v>134.57135947731092</v>
      </c>
      <c r="U407" s="319">
        <f t="shared" si="181"/>
        <v>37586.5</v>
      </c>
      <c r="V407" s="319">
        <f t="shared" si="182"/>
        <v>1412744982.25</v>
      </c>
      <c r="X407" s="345">
        <f t="shared" si="176"/>
        <v>5.0336736808358342</v>
      </c>
      <c r="Y407" s="346">
        <f t="shared" si="177"/>
        <v>-11.206425914032032</v>
      </c>
      <c r="AA407" s="345">
        <f t="shared" si="178"/>
        <v>31.584579450331105</v>
      </c>
      <c r="AB407" s="346">
        <f t="shared" si="179"/>
        <v>-34.222214608657055</v>
      </c>
      <c r="AD407">
        <f t="shared" si="183"/>
        <v>0</v>
      </c>
      <c r="AE407">
        <f t="shared" si="160"/>
        <v>0</v>
      </c>
    </row>
    <row r="408" spans="1:31" x14ac:dyDescent="0.2">
      <c r="A408" s="347">
        <v>37802.75</v>
      </c>
      <c r="B408" s="364">
        <f t="shared" si="180"/>
        <v>37.802750000000003</v>
      </c>
      <c r="C408" s="337">
        <f t="shared" si="161"/>
        <v>1.1703105232834534</v>
      </c>
      <c r="D408" s="338">
        <f t="shared" si="162"/>
        <v>0.5462587140120585</v>
      </c>
      <c r="E408" s="338">
        <f t="shared" si="163"/>
        <v>1.0000024924800701</v>
      </c>
      <c r="F408" s="339">
        <f t="shared" si="164"/>
        <v>2.2327001111626266E-3</v>
      </c>
      <c r="G408" s="338">
        <f t="shared" si="165"/>
        <v>1</v>
      </c>
      <c r="H408" s="339">
        <f t="shared" si="166"/>
        <v>0</v>
      </c>
      <c r="I408" s="337">
        <f t="shared" si="167"/>
        <v>273631.2637562725</v>
      </c>
      <c r="J408" s="340">
        <f t="shared" si="168"/>
        <v>1.5707926722417354</v>
      </c>
      <c r="K408" s="348">
        <f t="shared" si="184"/>
        <v>6.3638831995638396</v>
      </c>
      <c r="L408" s="349">
        <f t="shared" si="185"/>
        <v>1.4130056027885067</v>
      </c>
      <c r="M408" s="337">
        <f t="shared" si="169"/>
        <v>1.0006893960534369</v>
      </c>
      <c r="N408" s="340">
        <f t="shared" si="170"/>
        <v>3.7121428596574246E-2</v>
      </c>
      <c r="O408" s="341">
        <f t="shared" si="171"/>
        <v>1.0002783342278765</v>
      </c>
      <c r="P408" s="342">
        <f t="shared" si="172"/>
        <v>5.6115912449982333E-2</v>
      </c>
      <c r="Q408" s="343">
        <f t="shared" si="173"/>
        <v>-1.6144384779682519</v>
      </c>
      <c r="R408" s="344">
        <f t="shared" si="174"/>
        <v>-45.553033870295877</v>
      </c>
      <c r="S408" s="346">
        <f t="shared" si="175"/>
        <v>134.44696612970412</v>
      </c>
      <c r="U408" s="319">
        <f t="shared" si="181"/>
        <v>37802.75</v>
      </c>
      <c r="V408" s="319">
        <f t="shared" si="182"/>
        <v>1429047907.5625</v>
      </c>
      <c r="X408" s="345">
        <f t="shared" si="176"/>
        <v>5.032368124449488</v>
      </c>
      <c r="Y408" s="346">
        <f t="shared" si="177"/>
        <v>-11.167434342248191</v>
      </c>
      <c r="AA408" s="345">
        <f t="shared" si="178"/>
        <v>31.57116041092852</v>
      </c>
      <c r="AB408" s="346">
        <f t="shared" si="179"/>
        <v>-34.385599528047685</v>
      </c>
      <c r="AD408">
        <f t="shared" si="183"/>
        <v>0</v>
      </c>
      <c r="AE408">
        <f t="shared" si="160"/>
        <v>0</v>
      </c>
    </row>
    <row r="409" spans="1:31" x14ac:dyDescent="0.2">
      <c r="A409" s="347">
        <v>38019</v>
      </c>
      <c r="B409" s="364">
        <f t="shared" si="180"/>
        <v>38.018999999999998</v>
      </c>
      <c r="C409" s="337">
        <f t="shared" si="161"/>
        <v>1.172121027673187</v>
      </c>
      <c r="D409" s="338">
        <f t="shared" si="162"/>
        <v>0.54879408373441707</v>
      </c>
      <c r="E409" s="338">
        <f t="shared" si="163"/>
        <v>1.000002521077979</v>
      </c>
      <c r="F409" s="339">
        <f t="shared" si="164"/>
        <v>2.2454721920479002E-3</v>
      </c>
      <c r="G409" s="338">
        <f t="shared" si="165"/>
        <v>1</v>
      </c>
      <c r="H409" s="339">
        <f t="shared" si="166"/>
        <v>0</v>
      </c>
      <c r="I409" s="337">
        <f t="shared" si="167"/>
        <v>275196.56683042733</v>
      </c>
      <c r="J409" s="340">
        <f t="shared" si="168"/>
        <v>1.5707926930286344</v>
      </c>
      <c r="K409" s="348">
        <f t="shared" si="184"/>
        <v>6.3993912825638928</v>
      </c>
      <c r="L409" s="349">
        <f t="shared" si="185"/>
        <v>1.4138884082570542</v>
      </c>
      <c r="M409" s="337">
        <f t="shared" si="169"/>
        <v>1.000697303214509</v>
      </c>
      <c r="N409" s="340">
        <f t="shared" si="170"/>
        <v>3.7333584406579801E-2</v>
      </c>
      <c r="O409" s="341">
        <f t="shared" si="171"/>
        <v>1.0002815370456106</v>
      </c>
      <c r="P409" s="342">
        <f t="shared" si="172"/>
        <v>5.6437081974573575E-2</v>
      </c>
      <c r="Q409" s="343">
        <f t="shared" si="173"/>
        <v>-1.6291782187929968</v>
      </c>
      <c r="R409" s="344">
        <f t="shared" si="174"/>
        <v>-45.677545523006785</v>
      </c>
      <c r="S409" s="346">
        <f t="shared" si="175"/>
        <v>134.32245447699322</v>
      </c>
      <c r="U409" s="319">
        <f t="shared" si="181"/>
        <v>38019</v>
      </c>
      <c r="V409" s="319">
        <f t="shared" si="182"/>
        <v>1445444361</v>
      </c>
      <c r="X409" s="345">
        <f t="shared" si="176"/>
        <v>5.0310828871947022</v>
      </c>
      <c r="Y409" s="346">
        <f t="shared" si="177"/>
        <v>-11.129010138239538</v>
      </c>
      <c r="AA409" s="345">
        <f t="shared" si="178"/>
        <v>31.55770590735856</v>
      </c>
      <c r="AB409" s="346">
        <f t="shared" si="179"/>
        <v>-34.548535384767241</v>
      </c>
      <c r="AD409">
        <f t="shared" si="183"/>
        <v>0</v>
      </c>
      <c r="AE409">
        <f t="shared" si="160"/>
        <v>0</v>
      </c>
    </row>
    <row r="410" spans="1:31" x14ac:dyDescent="0.2">
      <c r="A410" s="347">
        <v>38240.5</v>
      </c>
      <c r="B410" s="364">
        <f t="shared" si="180"/>
        <v>38.240499999999997</v>
      </c>
      <c r="C410" s="337">
        <f t="shared" si="161"/>
        <v>1.1739832731990081</v>
      </c>
      <c r="D410" s="338">
        <f t="shared" si="162"/>
        <v>0.55138288155832849</v>
      </c>
      <c r="E410" s="338">
        <f t="shared" si="163"/>
        <v>1.0000025505392875</v>
      </c>
      <c r="F410" s="339">
        <f t="shared" si="164"/>
        <v>2.2585543458136419E-3</v>
      </c>
      <c r="G410" s="338">
        <f t="shared" si="165"/>
        <v>1</v>
      </c>
      <c r="H410" s="339">
        <f t="shared" si="166"/>
        <v>0</v>
      </c>
      <c r="I410" s="337">
        <f t="shared" si="167"/>
        <v>276799.87148210511</v>
      </c>
      <c r="J410" s="340">
        <f t="shared" si="168"/>
        <v>1.5707927140764562</v>
      </c>
      <c r="K410" s="348">
        <f t="shared" si="184"/>
        <v>6.4357665241873159</v>
      </c>
      <c r="L410" s="349">
        <f t="shared" si="185"/>
        <v>1.4147825462528822</v>
      </c>
      <c r="M410" s="337">
        <f t="shared" si="169"/>
        <v>1.0007054490355789</v>
      </c>
      <c r="N410" s="340">
        <f t="shared" si="170"/>
        <v>3.7550887334188494E-2</v>
      </c>
      <c r="O410" s="341">
        <f t="shared" si="171"/>
        <v>1.0002848367802155</v>
      </c>
      <c r="P410" s="342">
        <f t="shared" si="172"/>
        <v>5.676605149956649E-2</v>
      </c>
      <c r="Q410" s="343">
        <f t="shared" si="173"/>
        <v>-1.6442915082685947</v>
      </c>
      <c r="R410" s="344">
        <f t="shared" si="174"/>
        <v>-45.805193138764132</v>
      </c>
      <c r="S410" s="346">
        <f t="shared" si="175"/>
        <v>134.19480686123586</v>
      </c>
      <c r="U410" s="319">
        <f t="shared" si="181"/>
        <v>38240.5</v>
      </c>
      <c r="V410" s="319">
        <f t="shared" si="182"/>
        <v>1462335840.25</v>
      </c>
      <c r="X410" s="345">
        <f t="shared" si="176"/>
        <v>5.029787034402851</v>
      </c>
      <c r="Y410" s="346">
        <f t="shared" si="177"/>
        <v>-11.09023155131116</v>
      </c>
      <c r="AA410" s="345">
        <f t="shared" si="178"/>
        <v>31.543888470674815</v>
      </c>
      <c r="AB410" s="346">
        <f t="shared" si="179"/>
        <v>-34.714961587452983</v>
      </c>
      <c r="AD410">
        <f t="shared" si="183"/>
        <v>0</v>
      </c>
      <c r="AE410">
        <f t="shared" ref="AE410:AE473" si="186">IF(AD410&gt;0,S410,0)</f>
        <v>0</v>
      </c>
    </row>
    <row r="411" spans="1:31" x14ac:dyDescent="0.2">
      <c r="A411" s="347">
        <v>38462</v>
      </c>
      <c r="B411" s="364">
        <f t="shared" si="180"/>
        <v>38.462000000000003</v>
      </c>
      <c r="C411" s="337">
        <f t="shared" si="161"/>
        <v>1.1758533616609326</v>
      </c>
      <c r="D411" s="338">
        <f t="shared" si="162"/>
        <v>0.55396346213347136</v>
      </c>
      <c r="E411" s="338">
        <f t="shared" si="163"/>
        <v>1.0000025801717392</v>
      </c>
      <c r="F411" s="339">
        <f t="shared" si="164"/>
        <v>2.2716364988063127E-3</v>
      </c>
      <c r="G411" s="338">
        <f t="shared" si="165"/>
        <v>1</v>
      </c>
      <c r="H411" s="339">
        <f t="shared" si="166"/>
        <v>0</v>
      </c>
      <c r="I411" s="337">
        <f t="shared" si="167"/>
        <v>278403.17613378295</v>
      </c>
      <c r="J411" s="340">
        <f t="shared" si="168"/>
        <v>1.570792734881852</v>
      </c>
      <c r="K411" s="348">
        <f t="shared" si="184"/>
        <v>6.4721468532568887</v>
      </c>
      <c r="L411" s="349">
        <f t="shared" si="185"/>
        <v>1.4156666329413643</v>
      </c>
      <c r="M411" s="337">
        <f t="shared" si="169"/>
        <v>1.000713642109752</v>
      </c>
      <c r="N411" s="340">
        <f t="shared" si="170"/>
        <v>3.7768186713839337E-2</v>
      </c>
      <c r="O411" s="341">
        <f t="shared" si="171"/>
        <v>1.0002881559090855</v>
      </c>
      <c r="P411" s="342">
        <f t="shared" si="172"/>
        <v>5.7095023895896407E-2</v>
      </c>
      <c r="Q411" s="343">
        <f t="shared" si="173"/>
        <v>-1.6594206846602624</v>
      </c>
      <c r="R411" s="344">
        <f t="shared" si="174"/>
        <v>-45.932945785724279</v>
      </c>
      <c r="S411" s="346">
        <f t="shared" si="175"/>
        <v>134.06705421427571</v>
      </c>
      <c r="U411" s="319">
        <f t="shared" si="181"/>
        <v>38462</v>
      </c>
      <c r="V411" s="319">
        <f t="shared" si="182"/>
        <v>1479325444</v>
      </c>
      <c r="X411" s="345">
        <f t="shared" si="176"/>
        <v>5.028511540846198</v>
      </c>
      <c r="Y411" s="346">
        <f t="shared" si="177"/>
        <v>-11.052028644699961</v>
      </c>
      <c r="AA411" s="345">
        <f t="shared" si="178"/>
        <v>31.530034787839799</v>
      </c>
      <c r="AB411" s="346">
        <f t="shared" si="179"/>
        <v>-34.880917141024327</v>
      </c>
      <c r="AD411">
        <f t="shared" si="183"/>
        <v>0</v>
      </c>
      <c r="AE411">
        <f t="shared" si="186"/>
        <v>0</v>
      </c>
    </row>
    <row r="412" spans="1:31" x14ac:dyDescent="0.2">
      <c r="A412" s="347">
        <v>38683.5</v>
      </c>
      <c r="B412" s="364">
        <f t="shared" si="180"/>
        <v>38.683500000000002</v>
      </c>
      <c r="C412" s="337">
        <f t="shared" si="161"/>
        <v>1.1777312556981856</v>
      </c>
      <c r="D412" s="338">
        <f t="shared" si="162"/>
        <v>0.5565358303153759</v>
      </c>
      <c r="E412" s="338">
        <f t="shared" si="163"/>
        <v>1.0000026099753339</v>
      </c>
      <c r="F412" s="339">
        <f t="shared" si="164"/>
        <v>2.2847186510214332E-3</v>
      </c>
      <c r="G412" s="338">
        <f t="shared" si="165"/>
        <v>1</v>
      </c>
      <c r="H412" s="339">
        <f t="shared" si="166"/>
        <v>0</v>
      </c>
      <c r="I412" s="337">
        <f t="shared" si="167"/>
        <v>280006.48078546103</v>
      </c>
      <c r="J412" s="340">
        <f t="shared" si="168"/>
        <v>1.5707927554489864</v>
      </c>
      <c r="K412" s="348">
        <f t="shared" si="184"/>
        <v>6.5085321844616892</v>
      </c>
      <c r="L412" s="349">
        <f t="shared" si="185"/>
        <v>1.4165408355014002</v>
      </c>
      <c r="M412" s="337">
        <f t="shared" si="169"/>
        <v>1.0007218824358681</v>
      </c>
      <c r="N412" s="340">
        <f t="shared" si="170"/>
        <v>3.7985482525098403E-2</v>
      </c>
      <c r="O412" s="341">
        <f t="shared" si="171"/>
        <v>1.000291494436141</v>
      </c>
      <c r="P412" s="342">
        <f t="shared" si="172"/>
        <v>5.7423999180000046E-2</v>
      </c>
      <c r="Q412" s="343">
        <f t="shared" si="173"/>
        <v>-1.6745657305982384</v>
      </c>
      <c r="R412" s="344">
        <f t="shared" si="174"/>
        <v>-46.060794163453053</v>
      </c>
      <c r="S412" s="346">
        <f t="shared" si="175"/>
        <v>133.93920583654693</v>
      </c>
      <c r="U412" s="319">
        <f t="shared" si="181"/>
        <v>38683.5</v>
      </c>
      <c r="V412" s="319">
        <f t="shared" si="182"/>
        <v>1496413172.25</v>
      </c>
      <c r="X412" s="345">
        <f t="shared" si="176"/>
        <v>5.0272559415772466</v>
      </c>
      <c r="Y412" s="346">
        <f t="shared" si="177"/>
        <v>-11.014391838828388</v>
      </c>
      <c r="AA412" s="345">
        <f t="shared" si="178"/>
        <v>31.51614534117078</v>
      </c>
      <c r="AB412" s="346">
        <f t="shared" si="179"/>
        <v>-35.04640232462468</v>
      </c>
      <c r="AD412">
        <f t="shared" si="183"/>
        <v>0</v>
      </c>
      <c r="AE412">
        <f t="shared" si="186"/>
        <v>0</v>
      </c>
    </row>
    <row r="413" spans="1:31" x14ac:dyDescent="0.2">
      <c r="A413" s="347">
        <v>38905</v>
      </c>
      <c r="B413" s="364">
        <f t="shared" si="180"/>
        <v>38.905000000000001</v>
      </c>
      <c r="C413" s="337">
        <f t="shared" si="161"/>
        <v>1.1796169180324536</v>
      </c>
      <c r="D413" s="338">
        <f t="shared" si="162"/>
        <v>0.55909999136345179</v>
      </c>
      <c r="E413" s="338">
        <f t="shared" si="163"/>
        <v>1.0000026399500717</v>
      </c>
      <c r="F413" s="339">
        <f t="shared" si="164"/>
        <v>2.2978008024545273E-3</v>
      </c>
      <c r="G413" s="338">
        <f t="shared" si="165"/>
        <v>1</v>
      </c>
      <c r="H413" s="339">
        <f t="shared" si="166"/>
        <v>0</v>
      </c>
      <c r="I413" s="337">
        <f t="shared" si="167"/>
        <v>281609.78543713916</v>
      </c>
      <c r="J413" s="340">
        <f t="shared" si="168"/>
        <v>1.5707927757819287</v>
      </c>
      <c r="K413" s="348">
        <f t="shared" si="184"/>
        <v>6.544922434376276</v>
      </c>
      <c r="L413" s="349">
        <f t="shared" si="185"/>
        <v>1.4174053174549817</v>
      </c>
      <c r="M413" s="337">
        <f t="shared" si="169"/>
        <v>1.00073017001276</v>
      </c>
      <c r="N413" s="340">
        <f t="shared" si="170"/>
        <v>3.8202774747533759E-2</v>
      </c>
      <c r="O413" s="341">
        <f t="shared" si="171"/>
        <v>1.0002948523653248</v>
      </c>
      <c r="P413" s="342">
        <f t="shared" si="172"/>
        <v>5.7752977368310685E-2</v>
      </c>
      <c r="Q413" s="343">
        <f t="shared" si="173"/>
        <v>-1.6897266184628681</v>
      </c>
      <c r="R413" s="344">
        <f t="shared" si="174"/>
        <v>-46.188729204176717</v>
      </c>
      <c r="S413" s="346">
        <f t="shared" si="175"/>
        <v>133.81127079582328</v>
      </c>
      <c r="U413" s="319">
        <f t="shared" si="181"/>
        <v>38905</v>
      </c>
      <c r="V413" s="319">
        <f t="shared" si="182"/>
        <v>1513599025</v>
      </c>
      <c r="X413" s="345">
        <f t="shared" si="176"/>
        <v>5.0260197845380077</v>
      </c>
      <c r="Y413" s="346">
        <f t="shared" si="177"/>
        <v>-10.977311763638909</v>
      </c>
      <c r="AA413" s="345">
        <f t="shared" si="178"/>
        <v>31.502220610345386</v>
      </c>
      <c r="AB413" s="346">
        <f t="shared" si="179"/>
        <v>-35.211417440537815</v>
      </c>
      <c r="AD413">
        <f t="shared" si="183"/>
        <v>0</v>
      </c>
      <c r="AE413">
        <f t="shared" si="186"/>
        <v>0</v>
      </c>
    </row>
    <row r="414" spans="1:31" x14ac:dyDescent="0.2">
      <c r="A414" s="347">
        <v>39131.5</v>
      </c>
      <c r="B414" s="364">
        <f t="shared" si="180"/>
        <v>39.131500000000003</v>
      </c>
      <c r="C414" s="337">
        <f t="shared" si="161"/>
        <v>1.1815531406671704</v>
      </c>
      <c r="D414" s="338">
        <f t="shared" si="162"/>
        <v>0.56171355292894753</v>
      </c>
      <c r="E414" s="338">
        <f t="shared" si="163"/>
        <v>1.0000026707784218</v>
      </c>
      <c r="F414" s="339">
        <f t="shared" si="164"/>
        <v>2.3111782612330106E-3</v>
      </c>
      <c r="G414" s="338">
        <f t="shared" si="165"/>
        <v>1</v>
      </c>
      <c r="H414" s="339">
        <f t="shared" si="166"/>
        <v>0</v>
      </c>
      <c r="I414" s="337">
        <f t="shared" si="167"/>
        <v>283249.28206741053</v>
      </c>
      <c r="J414" s="340">
        <f t="shared" si="168"/>
        <v>1.5707927963358159</v>
      </c>
      <c r="K414" s="348">
        <f t="shared" si="184"/>
        <v>6.5821391361389834</v>
      </c>
      <c r="L414" s="349">
        <f t="shared" si="185"/>
        <v>1.4182794280957172</v>
      </c>
      <c r="M414" s="337">
        <f t="shared" si="169"/>
        <v>1.000738693529641</v>
      </c>
      <c r="N414" s="340">
        <f t="shared" si="170"/>
        <v>3.8424968253735335E-2</v>
      </c>
      <c r="O414" s="341">
        <f t="shared" si="171"/>
        <v>1.0002983061624247</v>
      </c>
      <c r="P414" s="342">
        <f t="shared" si="172"/>
        <v>5.808938472122873E-2</v>
      </c>
      <c r="Q414" s="343">
        <f t="shared" si="173"/>
        <v>-1.7052460818809336</v>
      </c>
      <c r="R414" s="344">
        <f t="shared" si="174"/>
        <v>-46.319632578367525</v>
      </c>
      <c r="S414" s="346">
        <f t="shared" si="175"/>
        <v>133.68036742163247</v>
      </c>
      <c r="U414" s="319">
        <f t="shared" si="181"/>
        <v>39131.5</v>
      </c>
      <c r="V414" s="319">
        <f t="shared" si="182"/>
        <v>1531274292.25</v>
      </c>
      <c r="X414" s="345">
        <f t="shared" si="176"/>
        <v>5.0247753708355205</v>
      </c>
      <c r="Y414" s="346">
        <f t="shared" si="177"/>
        <v>-10.939960840846171</v>
      </c>
      <c r="AA414" s="345">
        <f t="shared" si="178"/>
        <v>31.487945560629807</v>
      </c>
      <c r="AB414" s="346">
        <f t="shared" si="179"/>
        <v>-35.379671737521335</v>
      </c>
      <c r="AD414">
        <f t="shared" si="183"/>
        <v>0</v>
      </c>
      <c r="AE414">
        <f t="shared" si="186"/>
        <v>0</v>
      </c>
    </row>
    <row r="415" spans="1:31" x14ac:dyDescent="0.2">
      <c r="A415" s="347">
        <v>39358</v>
      </c>
      <c r="B415" s="364">
        <f t="shared" si="180"/>
        <v>39.357999999999997</v>
      </c>
      <c r="C415" s="337">
        <f t="shared" si="161"/>
        <v>1.1834974077015472</v>
      </c>
      <c r="D415" s="338">
        <f t="shared" si="162"/>
        <v>0.56431854504463519</v>
      </c>
      <c r="E415" s="338">
        <f t="shared" si="163"/>
        <v>1.0000027017857289</v>
      </c>
      <c r="F415" s="339">
        <f t="shared" si="164"/>
        <v>2.3245557191842923E-3</v>
      </c>
      <c r="G415" s="338">
        <f t="shared" si="165"/>
        <v>1</v>
      </c>
      <c r="H415" s="339">
        <f t="shared" si="166"/>
        <v>0</v>
      </c>
      <c r="I415" s="337">
        <f t="shared" si="167"/>
        <v>284888.77869768214</v>
      </c>
      <c r="J415" s="340">
        <f t="shared" si="168"/>
        <v>1.5707928166531333</v>
      </c>
      <c r="K415" s="348">
        <f t="shared" si="184"/>
        <v>6.6193608105581587</v>
      </c>
      <c r="L415" s="349">
        <f t="shared" si="185"/>
        <v>1.419143708876009</v>
      </c>
      <c r="M415" s="337">
        <f t="shared" si="169"/>
        <v>1.0007472664521027</v>
      </c>
      <c r="N415" s="340">
        <f t="shared" si="170"/>
        <v>3.864715796405558E-2</v>
      </c>
      <c r="O415" s="341">
        <f t="shared" si="171"/>
        <v>1.0003017802558929</v>
      </c>
      <c r="P415" s="342">
        <f t="shared" si="172"/>
        <v>5.8425795145693238E-2</v>
      </c>
      <c r="Q415" s="343">
        <f t="shared" si="173"/>
        <v>-1.720782021182081</v>
      </c>
      <c r="R415" s="344">
        <f t="shared" si="174"/>
        <v>-46.450608113759863</v>
      </c>
      <c r="S415" s="346">
        <f t="shared" si="175"/>
        <v>133.54939188624013</v>
      </c>
      <c r="U415" s="319">
        <f t="shared" si="181"/>
        <v>39358</v>
      </c>
      <c r="V415" s="319">
        <f t="shared" si="182"/>
        <v>1549052164</v>
      </c>
      <c r="X415" s="345">
        <f t="shared" si="176"/>
        <v>5.0235503703994517</v>
      </c>
      <c r="Y415" s="346">
        <f t="shared" si="177"/>
        <v>-10.903172896528247</v>
      </c>
      <c r="AA415" s="345">
        <f t="shared" si="178"/>
        <v>31.473634621764724</v>
      </c>
      <c r="AB415" s="346">
        <f t="shared" si="179"/>
        <v>-35.547435217231595</v>
      </c>
      <c r="AD415">
        <f t="shared" si="183"/>
        <v>0</v>
      </c>
      <c r="AE415">
        <f t="shared" si="186"/>
        <v>0</v>
      </c>
    </row>
    <row r="416" spans="1:31" x14ac:dyDescent="0.2">
      <c r="A416" s="347">
        <v>39584.5</v>
      </c>
      <c r="B416" s="364">
        <f t="shared" si="180"/>
        <v>39.584499999999998</v>
      </c>
      <c r="C416" s="337">
        <f t="shared" si="161"/>
        <v>1.1854496795545011</v>
      </c>
      <c r="D416" s="338">
        <f t="shared" si="162"/>
        <v>0.56691497460713969</v>
      </c>
      <c r="E416" s="338">
        <f t="shared" si="163"/>
        <v>1.0000027329719927</v>
      </c>
      <c r="F416" s="339">
        <f t="shared" si="164"/>
        <v>2.3379331763035836E-3</v>
      </c>
      <c r="G416" s="338">
        <f t="shared" si="165"/>
        <v>1</v>
      </c>
      <c r="H416" s="339">
        <f t="shared" si="166"/>
        <v>0</v>
      </c>
      <c r="I416" s="337">
        <f t="shared" si="167"/>
        <v>286528.27532795374</v>
      </c>
      <c r="J416" s="340">
        <f t="shared" si="168"/>
        <v>1.570792836737942</v>
      </c>
      <c r="K416" s="348">
        <f t="shared" si="184"/>
        <v>6.6565873742169153</v>
      </c>
      <c r="L416" s="349">
        <f t="shared" si="185"/>
        <v>1.4199983234124085</v>
      </c>
      <c r="M416" s="337">
        <f t="shared" si="169"/>
        <v>1.0007558887788748</v>
      </c>
      <c r="N416" s="340">
        <f t="shared" si="170"/>
        <v>3.8869343856654089E-2</v>
      </c>
      <c r="O416" s="341">
        <f t="shared" si="171"/>
        <v>1.0003052746500189</v>
      </c>
      <c r="P416" s="342">
        <f t="shared" si="172"/>
        <v>5.8762208659264611E-2</v>
      </c>
      <c r="Q416" s="343">
        <f t="shared" si="173"/>
        <v>-1.7363343764142565</v>
      </c>
      <c r="R416" s="344">
        <f t="shared" si="174"/>
        <v>-46.581646830951151</v>
      </c>
      <c r="S416" s="346">
        <f t="shared" si="175"/>
        <v>133.41835316904886</v>
      </c>
      <c r="U416" s="319">
        <f t="shared" si="181"/>
        <v>39584.5</v>
      </c>
      <c r="V416" s="319">
        <f t="shared" si="182"/>
        <v>1566932640.25</v>
      </c>
      <c r="X416" s="345">
        <f t="shared" si="176"/>
        <v>5.02234433896502</v>
      </c>
      <c r="Y416" s="346">
        <f t="shared" si="177"/>
        <v>-10.866938555128643</v>
      </c>
      <c r="AA416" s="345">
        <f t="shared" si="178"/>
        <v>31.459288297966985</v>
      </c>
      <c r="AB416" s="346">
        <f t="shared" si="179"/>
        <v>-35.714708275822495</v>
      </c>
      <c r="AD416">
        <f t="shared" si="183"/>
        <v>0</v>
      </c>
      <c r="AE416">
        <f t="shared" si="186"/>
        <v>0</v>
      </c>
    </row>
    <row r="417" spans="1:31" x14ac:dyDescent="0.2">
      <c r="A417" s="347">
        <v>39811</v>
      </c>
      <c r="B417" s="364">
        <f t="shared" si="180"/>
        <v>39.811</v>
      </c>
      <c r="C417" s="337">
        <f t="shared" si="161"/>
        <v>1.18740991674283</v>
      </c>
      <c r="D417" s="338">
        <f t="shared" si="162"/>
        <v>0.56950284892961267</v>
      </c>
      <c r="E417" s="338">
        <f t="shared" si="163"/>
        <v>1.0000027643372134</v>
      </c>
      <c r="F417" s="339">
        <f t="shared" si="164"/>
        <v>2.3513106325860982E-3</v>
      </c>
      <c r="G417" s="338">
        <f t="shared" si="165"/>
        <v>1</v>
      </c>
      <c r="H417" s="339">
        <f t="shared" si="166"/>
        <v>0</v>
      </c>
      <c r="I417" s="337">
        <f t="shared" si="167"/>
        <v>288167.77195822558</v>
      </c>
      <c r="J417" s="340">
        <f t="shared" si="168"/>
        <v>1.5707928565942104</v>
      </c>
      <c r="K417" s="348">
        <f t="shared" si="184"/>
        <v>6.6938187455431688</v>
      </c>
      <c r="L417" s="349">
        <f t="shared" si="185"/>
        <v>1.4208434317384904</v>
      </c>
      <c r="M417" s="337">
        <f t="shared" si="169"/>
        <v>1.000764560508681</v>
      </c>
      <c r="N417" s="340">
        <f t="shared" si="170"/>
        <v>3.9091525909692719E-2</v>
      </c>
      <c r="O417" s="341">
        <f t="shared" si="171"/>
        <v>1.0003087893491165</v>
      </c>
      <c r="P417" s="342">
        <f t="shared" si="172"/>
        <v>5.9098625279499453E-2</v>
      </c>
      <c r="Q417" s="343">
        <f t="shared" si="173"/>
        <v>-1.7519030782695169</v>
      </c>
      <c r="R417" s="344">
        <f t="shared" si="174"/>
        <v>-46.712739979687989</v>
      </c>
      <c r="S417" s="346">
        <f t="shared" si="175"/>
        <v>133.287260020312</v>
      </c>
      <c r="U417" s="319">
        <f t="shared" si="181"/>
        <v>39811</v>
      </c>
      <c r="V417" s="319">
        <f t="shared" si="182"/>
        <v>1584915721</v>
      </c>
      <c r="X417" s="345">
        <f t="shared" si="176"/>
        <v>5.0211568445879795</v>
      </c>
      <c r="Y417" s="346">
        <f t="shared" si="177"/>
        <v>-10.831248646375043</v>
      </c>
      <c r="AA417" s="345">
        <f t="shared" si="178"/>
        <v>31.444907090488769</v>
      </c>
      <c r="AB417" s="346">
        <f t="shared" si="179"/>
        <v>-35.881491333312958</v>
      </c>
      <c r="AD417">
        <f t="shared" si="183"/>
        <v>0</v>
      </c>
      <c r="AE417">
        <f t="shared" si="186"/>
        <v>0</v>
      </c>
    </row>
    <row r="418" spans="1:31" x14ac:dyDescent="0.2">
      <c r="A418" s="347">
        <v>40042.75</v>
      </c>
      <c r="B418" s="364">
        <f t="shared" si="180"/>
        <v>40.042749999999998</v>
      </c>
      <c r="C418" s="337">
        <f t="shared" si="161"/>
        <v>1.1894237932303562</v>
      </c>
      <c r="D418" s="338">
        <f t="shared" si="162"/>
        <v>0.57214186016360002</v>
      </c>
      <c r="E418" s="338">
        <f t="shared" si="163"/>
        <v>1.0000027966146694</v>
      </c>
      <c r="F418" s="339">
        <f t="shared" si="164"/>
        <v>2.3649981614875153E-3</v>
      </c>
      <c r="G418" s="338">
        <f t="shared" si="165"/>
        <v>1</v>
      </c>
      <c r="H418" s="339">
        <f t="shared" si="166"/>
        <v>0</v>
      </c>
      <c r="I418" s="337">
        <f t="shared" si="167"/>
        <v>289845.27016602032</v>
      </c>
      <c r="J418" s="340">
        <f t="shared" si="168"/>
        <v>1.5707928766782209</v>
      </c>
      <c r="K418" s="348">
        <f t="shared" si="184"/>
        <v>6.7319179885877256</v>
      </c>
      <c r="L418" s="349">
        <f t="shared" si="185"/>
        <v>1.4216984526538472</v>
      </c>
      <c r="M418" s="337">
        <f t="shared" si="169"/>
        <v>1.0007734843714673</v>
      </c>
      <c r="N418" s="340">
        <f t="shared" si="170"/>
        <v>3.9318853881006519E-2</v>
      </c>
      <c r="O418" s="341">
        <f t="shared" si="171"/>
        <v>1.0003124065356686</v>
      </c>
      <c r="P418" s="342">
        <f t="shared" si="172"/>
        <v>5.9442842869784192E-2</v>
      </c>
      <c r="Q418" s="343">
        <f t="shared" si="173"/>
        <v>-1.7678494817732924</v>
      </c>
      <c r="R418" s="344">
        <f t="shared" si="174"/>
        <v>-46.846919157361107</v>
      </c>
      <c r="S418" s="346">
        <f t="shared" si="175"/>
        <v>133.1530808426389</v>
      </c>
      <c r="U418" s="319">
        <f t="shared" si="181"/>
        <v>40042.75</v>
      </c>
      <c r="V418" s="319">
        <f t="shared" si="182"/>
        <v>1603421827.5625</v>
      </c>
      <c r="X418" s="345">
        <f t="shared" si="176"/>
        <v>5.0199605740088575</v>
      </c>
      <c r="Y418" s="346">
        <f t="shared" si="177"/>
        <v>-10.795285640539181</v>
      </c>
      <c r="AA418" s="345">
        <f t="shared" si="178"/>
        <v>31.430156957564112</v>
      </c>
      <c r="AB418" s="346">
        <f t="shared" si="179"/>
        <v>-36.051633516821923</v>
      </c>
      <c r="AD418">
        <f t="shared" si="183"/>
        <v>0</v>
      </c>
      <c r="AE418">
        <f t="shared" si="186"/>
        <v>0</v>
      </c>
    </row>
    <row r="419" spans="1:31" x14ac:dyDescent="0.2">
      <c r="A419" s="347">
        <v>40274.5</v>
      </c>
      <c r="B419" s="364">
        <f t="shared" si="180"/>
        <v>40.274500000000003</v>
      </c>
      <c r="C419" s="337">
        <f t="shared" si="161"/>
        <v>1.1914459252807259</v>
      </c>
      <c r="D419" s="338">
        <f t="shared" si="162"/>
        <v>0.57477193175857688</v>
      </c>
      <c r="E419" s="338">
        <f t="shared" si="163"/>
        <v>1.0000028290794745</v>
      </c>
      <c r="F419" s="339">
        <f t="shared" si="164"/>
        <v>2.3786856895027732E-3</v>
      </c>
      <c r="G419" s="338">
        <f t="shared" si="165"/>
        <v>1</v>
      </c>
      <c r="H419" s="339">
        <f t="shared" si="166"/>
        <v>0</v>
      </c>
      <c r="I419" s="337">
        <f t="shared" si="167"/>
        <v>291522.76837381517</v>
      </c>
      <c r="J419" s="340">
        <f t="shared" si="168"/>
        <v>1.570792896531094</v>
      </c>
      <c r="K419" s="348">
        <f t="shared" si="184"/>
        <v>6.7700220976791261</v>
      </c>
      <c r="L419" s="349">
        <f t="shared" si="185"/>
        <v>1.4225438494535709</v>
      </c>
      <c r="M419" s="337">
        <f t="shared" si="169"/>
        <v>1.0007824599513082</v>
      </c>
      <c r="N419" s="340">
        <f t="shared" si="170"/>
        <v>3.9546177786457644E-2</v>
      </c>
      <c r="O419" s="341">
        <f t="shared" si="171"/>
        <v>1.0003160449886073</v>
      </c>
      <c r="P419" s="342">
        <f t="shared" si="172"/>
        <v>5.9787063749592674E-2</v>
      </c>
      <c r="Q419" s="343">
        <f t="shared" si="173"/>
        <v>-1.7838128234897119</v>
      </c>
      <c r="R419" s="344">
        <f t="shared" si="174"/>
        <v>-46.981137494982541</v>
      </c>
      <c r="S419" s="346">
        <f t="shared" si="175"/>
        <v>133.01886250501747</v>
      </c>
      <c r="U419" s="319">
        <f t="shared" si="181"/>
        <v>40274.5</v>
      </c>
      <c r="V419" s="319">
        <f t="shared" si="182"/>
        <v>1622035350.25</v>
      </c>
      <c r="X419" s="345">
        <f t="shared" si="176"/>
        <v>5.0187828326624775</v>
      </c>
      <c r="Y419" s="346">
        <f t="shared" si="177"/>
        <v>-10.759873809711301</v>
      </c>
      <c r="AA419" s="345">
        <f t="shared" si="178"/>
        <v>31.415371357194072</v>
      </c>
      <c r="AB419" s="346">
        <f t="shared" si="179"/>
        <v>-36.221263685271232</v>
      </c>
      <c r="AD419">
        <f t="shared" si="183"/>
        <v>0</v>
      </c>
      <c r="AE419">
        <f t="shared" si="186"/>
        <v>0</v>
      </c>
    </row>
    <row r="420" spans="1:31" x14ac:dyDescent="0.2">
      <c r="A420" s="347">
        <v>40506.25</v>
      </c>
      <c r="B420" s="364">
        <f t="shared" si="180"/>
        <v>40.506250000000001</v>
      </c>
      <c r="C420" s="337">
        <f t="shared" si="161"/>
        <v>1.1934762709312161</v>
      </c>
      <c r="D420" s="338">
        <f t="shared" si="162"/>
        <v>0.57739307286100816</v>
      </c>
      <c r="E420" s="338">
        <f t="shared" si="163"/>
        <v>1.0000028617316283</v>
      </c>
      <c r="F420" s="339">
        <f t="shared" si="164"/>
        <v>2.3923732166267432E-3</v>
      </c>
      <c r="G420" s="338">
        <f t="shared" si="165"/>
        <v>1</v>
      </c>
      <c r="H420" s="339">
        <f t="shared" si="166"/>
        <v>0</v>
      </c>
      <c r="I420" s="337">
        <f t="shared" si="167"/>
        <v>293200.26658161014</v>
      </c>
      <c r="J420" s="340">
        <f t="shared" si="168"/>
        <v>1.5707929161567971</v>
      </c>
      <c r="K420" s="348">
        <f t="shared" si="184"/>
        <v>6.8081309911137202</v>
      </c>
      <c r="L420" s="349">
        <f t="shared" si="185"/>
        <v>1.4233797825335734</v>
      </c>
      <c r="M420" s="337">
        <f t="shared" si="169"/>
        <v>1.0007914872468127</v>
      </c>
      <c r="N420" s="340">
        <f t="shared" si="170"/>
        <v>3.9773497602661356E-2</v>
      </c>
      <c r="O420" s="341">
        <f t="shared" si="171"/>
        <v>1.000319704712634</v>
      </c>
      <c r="P420" s="342">
        <f t="shared" si="172"/>
        <v>6.0131287937718388E-2</v>
      </c>
      <c r="Q420" s="343">
        <f t="shared" si="173"/>
        <v>-1.7997930014759087</v>
      </c>
      <c r="R420" s="344">
        <f t="shared" si="174"/>
        <v>-47.115386326561868</v>
      </c>
      <c r="S420" s="346">
        <f t="shared" si="175"/>
        <v>132.88461367343814</v>
      </c>
      <c r="U420" s="319">
        <f t="shared" si="181"/>
        <v>40506.25</v>
      </c>
      <c r="V420" s="319">
        <f t="shared" si="182"/>
        <v>1640756289.0625</v>
      </c>
      <c r="X420" s="345">
        <f t="shared" si="176"/>
        <v>5.0176231953197252</v>
      </c>
      <c r="Y420" s="346">
        <f t="shared" si="177"/>
        <v>-10.725003962770058</v>
      </c>
      <c r="AA420" s="345">
        <f t="shared" si="178"/>
        <v>31.400550816550631</v>
      </c>
      <c r="AB420" s="346">
        <f t="shared" si="179"/>
        <v>-36.390382363791801</v>
      </c>
      <c r="AD420">
        <f t="shared" si="183"/>
        <v>0</v>
      </c>
      <c r="AE420">
        <f t="shared" si="186"/>
        <v>0</v>
      </c>
    </row>
    <row r="421" spans="1:31" x14ac:dyDescent="0.2">
      <c r="A421" s="347">
        <v>40738</v>
      </c>
      <c r="B421" s="364">
        <f t="shared" si="180"/>
        <v>40.738</v>
      </c>
      <c r="C421" s="337">
        <f t="shared" si="161"/>
        <v>1.1955147883342969</v>
      </c>
      <c r="D421" s="338">
        <f t="shared" si="162"/>
        <v>0.5800052930461963</v>
      </c>
      <c r="E421" s="338">
        <f t="shared" si="163"/>
        <v>1.0000028945711312</v>
      </c>
      <c r="F421" s="339">
        <f t="shared" si="164"/>
        <v>2.4060607428542974E-3</v>
      </c>
      <c r="G421" s="338">
        <f t="shared" si="165"/>
        <v>1</v>
      </c>
      <c r="H421" s="339">
        <f t="shared" si="166"/>
        <v>0</v>
      </c>
      <c r="I421" s="337">
        <f t="shared" si="167"/>
        <v>294877.76478940522</v>
      </c>
      <c r="J421" s="340">
        <f t="shared" si="168"/>
        <v>1.5707929355592072</v>
      </c>
      <c r="K421" s="348">
        <f t="shared" si="184"/>
        <v>6.8462445889968961</v>
      </c>
      <c r="L421" s="349">
        <f t="shared" si="185"/>
        <v>1.4242064087715989</v>
      </c>
      <c r="M421" s="337">
        <f t="shared" si="169"/>
        <v>1.0008005662565809</v>
      </c>
      <c r="N421" s="340">
        <f t="shared" si="170"/>
        <v>4.0000813306235443E-2</v>
      </c>
      <c r="O421" s="341">
        <f t="shared" si="171"/>
        <v>1.0003233857124767</v>
      </c>
      <c r="P421" s="342">
        <f t="shared" si="172"/>
        <v>6.0475515452950643E-2</v>
      </c>
      <c r="Q421" s="343">
        <f t="shared" si="173"/>
        <v>-1.8157899053076496</v>
      </c>
      <c r="R421" s="344">
        <f t="shared" si="174"/>
        <v>-47.249657212250149</v>
      </c>
      <c r="S421" s="346">
        <f t="shared" si="175"/>
        <v>132.75034278774984</v>
      </c>
      <c r="U421" s="319">
        <f t="shared" si="181"/>
        <v>40738</v>
      </c>
      <c r="V421" s="319">
        <f t="shared" si="182"/>
        <v>1659584644</v>
      </c>
      <c r="X421" s="345">
        <f t="shared" si="176"/>
        <v>5.0164812485548449</v>
      </c>
      <c r="Y421" s="346">
        <f t="shared" si="177"/>
        <v>-10.690667110165247</v>
      </c>
      <c r="AA421" s="345">
        <f t="shared" si="178"/>
        <v>31.385695859483768</v>
      </c>
      <c r="AB421" s="346">
        <f t="shared" si="179"/>
        <v>-36.558990102084891</v>
      </c>
      <c r="AD421">
        <f t="shared" si="183"/>
        <v>0</v>
      </c>
      <c r="AE421">
        <f t="shared" si="186"/>
        <v>0</v>
      </c>
    </row>
    <row r="422" spans="1:31" x14ac:dyDescent="0.2">
      <c r="A422" s="347">
        <v>40975.25</v>
      </c>
      <c r="B422" s="364">
        <f t="shared" si="180"/>
        <v>40.975250000000003</v>
      </c>
      <c r="C422" s="337">
        <f t="shared" si="161"/>
        <v>1.1976101061798803</v>
      </c>
      <c r="D422" s="338">
        <f t="shared" si="162"/>
        <v>0.58267027710725272</v>
      </c>
      <c r="E422" s="338">
        <f t="shared" si="163"/>
        <v>1.0000029283840677</v>
      </c>
      <c r="F422" s="339">
        <f t="shared" si="164"/>
        <v>2.4200731069580635E-3</v>
      </c>
      <c r="G422" s="338">
        <f t="shared" si="165"/>
        <v>1</v>
      </c>
      <c r="H422" s="339">
        <f t="shared" si="166"/>
        <v>0</v>
      </c>
      <c r="I422" s="337">
        <f t="shared" si="167"/>
        <v>296595.07417365297</v>
      </c>
      <c r="J422" s="340">
        <f t="shared" si="168"/>
        <v>1.5707929551947351</v>
      </c>
      <c r="K422" s="348">
        <f t="shared" si="184"/>
        <v>6.8852675083886306</v>
      </c>
      <c r="L422" s="349">
        <f t="shared" si="185"/>
        <v>1.4250431723154025</v>
      </c>
      <c r="M422" s="337">
        <f t="shared" si="169"/>
        <v>1.0008099143019979</v>
      </c>
      <c r="N422" s="340">
        <f t="shared" si="170"/>
        <v>4.0233519488398949E-2</v>
      </c>
      <c r="O422" s="341">
        <f t="shared" si="171"/>
        <v>1.0003271761157029</v>
      </c>
      <c r="P422" s="342">
        <f t="shared" si="172"/>
        <v>6.0827915803573565E-2</v>
      </c>
      <c r="Q422" s="343">
        <f t="shared" si="173"/>
        <v>-1.8321836573883756</v>
      </c>
      <c r="R422" s="344">
        <f t="shared" si="174"/>
        <v>-47.387128942667971</v>
      </c>
      <c r="S422" s="346">
        <f t="shared" si="175"/>
        <v>132.61287105733203</v>
      </c>
      <c r="U422" s="319">
        <f t="shared" si="181"/>
        <v>40975.25</v>
      </c>
      <c r="V422" s="319">
        <f t="shared" si="182"/>
        <v>1678971112.5625</v>
      </c>
      <c r="X422" s="345">
        <f t="shared" si="176"/>
        <v>5.0153301062318825</v>
      </c>
      <c r="Y422" s="346">
        <f t="shared" si="177"/>
        <v>-10.656058297752788</v>
      </c>
      <c r="AA422" s="345">
        <f t="shared" si="178"/>
        <v>31.370453249726005</v>
      </c>
      <c r="AB422" s="346">
        <f t="shared" si="179"/>
        <v>-36.731070644915178</v>
      </c>
      <c r="AD422">
        <f t="shared" si="183"/>
        <v>0</v>
      </c>
      <c r="AE422">
        <f t="shared" si="186"/>
        <v>0</v>
      </c>
    </row>
    <row r="423" spans="1:31" x14ac:dyDescent="0.2">
      <c r="A423" s="347">
        <v>41212.5</v>
      </c>
      <c r="B423" s="364">
        <f t="shared" si="180"/>
        <v>41.212499999999999</v>
      </c>
      <c r="C423" s="337">
        <f t="shared" si="161"/>
        <v>1.1997138998747003</v>
      </c>
      <c r="D423" s="338">
        <f t="shared" si="162"/>
        <v>0.58532593345135886</v>
      </c>
      <c r="E423" s="338">
        <f t="shared" si="163"/>
        <v>1.0000029623933511</v>
      </c>
      <c r="F423" s="339">
        <f t="shared" si="164"/>
        <v>2.4340854701114835E-3</v>
      </c>
      <c r="G423" s="338">
        <f t="shared" si="165"/>
        <v>1</v>
      </c>
      <c r="H423" s="339">
        <f t="shared" si="166"/>
        <v>0</v>
      </c>
      <c r="I423" s="337">
        <f t="shared" si="167"/>
        <v>298312.38355790084</v>
      </c>
      <c r="J423" s="340">
        <f t="shared" si="168"/>
        <v>1.5707929746041895</v>
      </c>
      <c r="K423" s="348">
        <f t="shared" si="184"/>
        <v>6.9242951943207824</v>
      </c>
      <c r="L423" s="349">
        <f t="shared" si="185"/>
        <v>1.4258705038644313</v>
      </c>
      <c r="M423" s="337">
        <f t="shared" si="169"/>
        <v>1.0008193165424268</v>
      </c>
      <c r="N423" s="340">
        <f t="shared" si="170"/>
        <v>4.0466221310826944E-2</v>
      </c>
      <c r="O423" s="341">
        <f t="shared" si="171"/>
        <v>1.0003309888266987</v>
      </c>
      <c r="P423" s="342">
        <f t="shared" si="172"/>
        <v>6.1180319680934868E-2</v>
      </c>
      <c r="Q423" s="343">
        <f t="shared" si="173"/>
        <v>-1.8485946789251293</v>
      </c>
      <c r="R423" s="344">
        <f t="shared" si="174"/>
        <v>-47.524606587139196</v>
      </c>
      <c r="S423" s="346">
        <f t="shared" si="175"/>
        <v>132.4753934128608</v>
      </c>
      <c r="U423" s="319">
        <f t="shared" si="181"/>
        <v>41212.5</v>
      </c>
      <c r="V423" s="319">
        <f t="shared" si="182"/>
        <v>1698470156.25</v>
      </c>
      <c r="X423" s="345">
        <f t="shared" si="176"/>
        <v>5.0141966635201198</v>
      </c>
      <c r="Y423" s="346">
        <f t="shared" si="177"/>
        <v>-10.621989636086438</v>
      </c>
      <c r="AA423" s="345">
        <f t="shared" si="178"/>
        <v>31.355175670901012</v>
      </c>
      <c r="AB423" s="346">
        <f t="shared" si="179"/>
        <v>-36.902616951052771</v>
      </c>
      <c r="AD423">
        <f t="shared" si="183"/>
        <v>0</v>
      </c>
      <c r="AE423">
        <f t="shared" si="186"/>
        <v>0</v>
      </c>
    </row>
    <row r="424" spans="1:31" x14ac:dyDescent="0.2">
      <c r="A424" s="347">
        <v>41449.75</v>
      </c>
      <c r="B424" s="364">
        <f t="shared" si="180"/>
        <v>41.449750000000002</v>
      </c>
      <c r="C424" s="337">
        <f t="shared" si="161"/>
        <v>1.2018261249078974</v>
      </c>
      <c r="D424" s="338">
        <f t="shared" si="162"/>
        <v>0.5879722737032016</v>
      </c>
      <c r="E424" s="338">
        <f t="shared" si="163"/>
        <v>1.0000029965989812</v>
      </c>
      <c r="F424" s="339">
        <f t="shared" si="164"/>
        <v>2.4480978323090535E-3</v>
      </c>
      <c r="G424" s="338">
        <f t="shared" si="165"/>
        <v>1</v>
      </c>
      <c r="H424" s="339">
        <f t="shared" si="166"/>
        <v>0</v>
      </c>
      <c r="I424" s="337">
        <f t="shared" si="167"/>
        <v>300029.69294214877</v>
      </c>
      <c r="J424" s="340">
        <f t="shared" si="168"/>
        <v>1.5707929937914522</v>
      </c>
      <c r="K424" s="348">
        <f t="shared" si="184"/>
        <v>6.9633275666475969</v>
      </c>
      <c r="L424" s="349">
        <f t="shared" si="185"/>
        <v>1.4266885608873392</v>
      </c>
      <c r="M424" s="337">
        <f t="shared" si="169"/>
        <v>1.0008287729763397</v>
      </c>
      <c r="N424" s="340">
        <f t="shared" si="170"/>
        <v>4.069891874844099E-2</v>
      </c>
      <c r="O424" s="341">
        <f t="shared" si="171"/>
        <v>1.0003348238506247</v>
      </c>
      <c r="P424" s="342">
        <f t="shared" si="172"/>
        <v>6.1532727105179631E-2</v>
      </c>
      <c r="Q424" s="343">
        <f t="shared" si="173"/>
        <v>-1.8650228264192947</v>
      </c>
      <c r="R424" s="344">
        <f t="shared" si="174"/>
        <v>-47.662081789360137</v>
      </c>
      <c r="S424" s="346">
        <f t="shared" si="175"/>
        <v>132.33791821063986</v>
      </c>
      <c r="U424" s="319">
        <f t="shared" si="181"/>
        <v>41449.75</v>
      </c>
      <c r="V424" s="319">
        <f t="shared" si="182"/>
        <v>1718081775.0625</v>
      </c>
      <c r="X424" s="345">
        <f t="shared" si="176"/>
        <v>5.0130805128002329</v>
      </c>
      <c r="Y424" s="346">
        <f t="shared" si="177"/>
        <v>-10.588452101662423</v>
      </c>
      <c r="AA424" s="345">
        <f t="shared" si="178"/>
        <v>31.339863674126732</v>
      </c>
      <c r="AB424" s="346">
        <f t="shared" si="179"/>
        <v>-37.073629687697732</v>
      </c>
      <c r="AD424">
        <f t="shared" si="183"/>
        <v>0</v>
      </c>
      <c r="AE424">
        <f t="shared" si="186"/>
        <v>0</v>
      </c>
    </row>
    <row r="425" spans="1:31" x14ac:dyDescent="0.2">
      <c r="A425" s="347">
        <v>41687</v>
      </c>
      <c r="B425" s="364">
        <f t="shared" si="180"/>
        <v>41.686999999999998</v>
      </c>
      <c r="C425" s="337">
        <f t="shared" si="161"/>
        <v>1.203946736903214</v>
      </c>
      <c r="D425" s="338">
        <f t="shared" si="162"/>
        <v>0.59060930992798433</v>
      </c>
      <c r="E425" s="338">
        <f t="shared" si="163"/>
        <v>1.0000030310009584</v>
      </c>
      <c r="F425" s="339">
        <f t="shared" si="164"/>
        <v>2.4621101935452718E-3</v>
      </c>
      <c r="G425" s="338">
        <f t="shared" si="165"/>
        <v>1</v>
      </c>
      <c r="H425" s="339">
        <f t="shared" si="166"/>
        <v>0</v>
      </c>
      <c r="I425" s="337">
        <f t="shared" si="167"/>
        <v>301747.00232639682</v>
      </c>
      <c r="J425" s="340">
        <f t="shared" si="168"/>
        <v>1.5707930127603169</v>
      </c>
      <c r="K425" s="348">
        <f t="shared" si="184"/>
        <v>7.0023645470007931</v>
      </c>
      <c r="L425" s="349">
        <f t="shared" si="185"/>
        <v>1.4274974973916259</v>
      </c>
      <c r="M425" s="337">
        <f t="shared" si="169"/>
        <v>1.000838283602201</v>
      </c>
      <c r="N425" s="340">
        <f t="shared" si="170"/>
        <v>4.0931611776165479E-2</v>
      </c>
      <c r="O425" s="341">
        <f t="shared" si="171"/>
        <v>1.0003386811926713</v>
      </c>
      <c r="P425" s="342">
        <f t="shared" si="172"/>
        <v>6.1885138096448147E-2</v>
      </c>
      <c r="Q425" s="343">
        <f t="shared" si="173"/>
        <v>-1.8814679487559318</v>
      </c>
      <c r="R425" s="344">
        <f t="shared" si="174"/>
        <v>-47.799546416571168</v>
      </c>
      <c r="S425" s="346">
        <f t="shared" si="175"/>
        <v>132.20045358342884</v>
      </c>
      <c r="U425" s="319">
        <f t="shared" si="181"/>
        <v>41687</v>
      </c>
      <c r="V425" s="319">
        <f t="shared" si="182"/>
        <v>1737805969</v>
      </c>
      <c r="X425" s="345">
        <f t="shared" si="176"/>
        <v>5.0119812577832334</v>
      </c>
      <c r="Y425" s="346">
        <f t="shared" si="177"/>
        <v>-10.55543686928163</v>
      </c>
      <c r="AA425" s="345">
        <f t="shared" si="178"/>
        <v>31.324517806807094</v>
      </c>
      <c r="AB425" s="346">
        <f t="shared" si="179"/>
        <v>-37.244109547289554</v>
      </c>
      <c r="AD425">
        <f t="shared" si="183"/>
        <v>0</v>
      </c>
      <c r="AE425">
        <f t="shared" si="186"/>
        <v>0</v>
      </c>
    </row>
    <row r="426" spans="1:31" x14ac:dyDescent="0.2">
      <c r="A426" s="347">
        <v>41929.75</v>
      </c>
      <c r="B426" s="364">
        <f t="shared" si="180"/>
        <v>41.929749999999999</v>
      </c>
      <c r="C426" s="337">
        <f t="shared" si="161"/>
        <v>1.2061251442723016</v>
      </c>
      <c r="D426" s="338">
        <f t="shared" si="162"/>
        <v>0.59329786168853493</v>
      </c>
      <c r="E426" s="338">
        <f t="shared" si="163"/>
        <v>1.0000030664036796</v>
      </c>
      <c r="F426" s="339">
        <f t="shared" si="164"/>
        <v>2.4764473925027318E-3</v>
      </c>
      <c r="G426" s="338">
        <f t="shared" si="165"/>
        <v>1</v>
      </c>
      <c r="H426" s="339">
        <f t="shared" si="166"/>
        <v>0</v>
      </c>
      <c r="I426" s="337">
        <f t="shared" si="167"/>
        <v>303504.12288709753</v>
      </c>
      <c r="J426" s="340">
        <f t="shared" si="168"/>
        <v>1.5707930319467394</v>
      </c>
      <c r="K426" s="348">
        <f t="shared" si="184"/>
        <v>7.0423111838061807</v>
      </c>
      <c r="L426" s="349">
        <f t="shared" si="185"/>
        <v>1.4283159038850224</v>
      </c>
      <c r="M426" s="337">
        <f t="shared" si="169"/>
        <v>1.0008480707955563</v>
      </c>
      <c r="N426" s="340">
        <f t="shared" si="170"/>
        <v>4.1169694572231116E-2</v>
      </c>
      <c r="O426" s="341">
        <f t="shared" si="171"/>
        <v>1.0003426510624087</v>
      </c>
      <c r="P426" s="342">
        <f t="shared" si="172"/>
        <v>6.2245722497058981E-2</v>
      </c>
      <c r="Q426" s="343">
        <f t="shared" si="173"/>
        <v>-1.8983117112831105</v>
      </c>
      <c r="R426" s="344">
        <f t="shared" si="174"/>
        <v>-47.940178589629383</v>
      </c>
      <c r="S426" s="346">
        <f t="shared" si="175"/>
        <v>132.0598214103706</v>
      </c>
      <c r="U426" s="319">
        <f t="shared" si="181"/>
        <v>41929.75</v>
      </c>
      <c r="V426" s="319">
        <f t="shared" si="182"/>
        <v>1758103935.0625</v>
      </c>
      <c r="X426" s="345">
        <f t="shared" si="176"/>
        <v>5.0108736054209011</v>
      </c>
      <c r="Y426" s="346">
        <f t="shared" si="177"/>
        <v>-10.522187869936175</v>
      </c>
      <c r="AA426" s="345">
        <f t="shared" si="178"/>
        <v>31.308781696642249</v>
      </c>
      <c r="AB426" s="346">
        <f t="shared" si="179"/>
        <v>-37.417990719693208</v>
      </c>
      <c r="AD426">
        <f t="shared" si="183"/>
        <v>0</v>
      </c>
      <c r="AE426">
        <f t="shared" si="186"/>
        <v>0</v>
      </c>
    </row>
    <row r="427" spans="1:31" x14ac:dyDescent="0.2">
      <c r="A427" s="347">
        <v>42172.5</v>
      </c>
      <c r="B427" s="364">
        <f t="shared" si="180"/>
        <v>42.172499999999999</v>
      </c>
      <c r="C427" s="337">
        <f t="shared" si="161"/>
        <v>1.2083122384164255</v>
      </c>
      <c r="D427" s="338">
        <f t="shared" si="162"/>
        <v>0.59597669997889779</v>
      </c>
      <c r="E427" s="338">
        <f t="shared" si="163"/>
        <v>1.0000031020119566</v>
      </c>
      <c r="F427" s="339">
        <f t="shared" si="164"/>
        <v>2.4907845904420952E-3</v>
      </c>
      <c r="G427" s="338">
        <f t="shared" si="165"/>
        <v>1</v>
      </c>
      <c r="H427" s="339">
        <f t="shared" si="166"/>
        <v>0</v>
      </c>
      <c r="I427" s="337">
        <f t="shared" si="167"/>
        <v>305261.24344779836</v>
      </c>
      <c r="J427" s="340">
        <f t="shared" si="168"/>
        <v>1.5707930509122832</v>
      </c>
      <c r="K427" s="348">
        <f t="shared" si="184"/>
        <v>7.0822624842638389</v>
      </c>
      <c r="L427" s="349">
        <f t="shared" si="185"/>
        <v>1.429125077593675</v>
      </c>
      <c r="M427" s="337">
        <f t="shared" si="169"/>
        <v>1.0008579147192895</v>
      </c>
      <c r="N427" s="340">
        <f t="shared" si="170"/>
        <v>4.1407772698471727E-2</v>
      </c>
      <c r="O427" s="341">
        <f t="shared" si="171"/>
        <v>1.0003466443081206</v>
      </c>
      <c r="P427" s="342">
        <f t="shared" si="172"/>
        <v>6.2606310674637428E-2</v>
      </c>
      <c r="Q427" s="343">
        <f t="shared" si="173"/>
        <v>-1.9151729019743549</v>
      </c>
      <c r="R427" s="344">
        <f t="shared" si="174"/>
        <v>-48.080783157686305</v>
      </c>
      <c r="S427" s="346">
        <f t="shared" si="175"/>
        <v>131.91921684231369</v>
      </c>
      <c r="U427" s="319">
        <f t="shared" si="181"/>
        <v>42172.5</v>
      </c>
      <c r="V427" s="319">
        <f t="shared" si="182"/>
        <v>1778519756.25</v>
      </c>
      <c r="X427" s="345">
        <f t="shared" si="176"/>
        <v>5.0097828365600598</v>
      </c>
      <c r="Y427" s="346">
        <f t="shared" si="177"/>
        <v>-10.489467589973625</v>
      </c>
      <c r="AA427" s="345">
        <f t="shared" si="178"/>
        <v>31.293011274811846</v>
      </c>
      <c r="AB427" s="346">
        <f t="shared" si="179"/>
        <v>-37.591315567712684</v>
      </c>
      <c r="AD427">
        <f t="shared" si="183"/>
        <v>0</v>
      </c>
      <c r="AE427">
        <f t="shared" si="186"/>
        <v>0</v>
      </c>
    </row>
    <row r="428" spans="1:31" x14ac:dyDescent="0.2">
      <c r="A428" s="347">
        <v>42415.25</v>
      </c>
      <c r="B428" s="364">
        <f t="shared" si="180"/>
        <v>42.41525</v>
      </c>
      <c r="C428" s="337">
        <f t="shared" si="161"/>
        <v>1.2105079722509038</v>
      </c>
      <c r="D428" s="338">
        <f t="shared" si="162"/>
        <v>0.59864583910526425</v>
      </c>
      <c r="E428" s="338">
        <f t="shared" si="163"/>
        <v>1.0000031378257896</v>
      </c>
      <c r="F428" s="339">
        <f t="shared" si="164"/>
        <v>2.5051217873574695E-3</v>
      </c>
      <c r="G428" s="338">
        <f t="shared" si="165"/>
        <v>1</v>
      </c>
      <c r="H428" s="339">
        <f t="shared" si="166"/>
        <v>0</v>
      </c>
      <c r="I428" s="337">
        <f t="shared" si="167"/>
        <v>307018.36400849931</v>
      </c>
      <c r="J428" s="340">
        <f t="shared" si="168"/>
        <v>1.5707930696607404</v>
      </c>
      <c r="K428" s="348">
        <f t="shared" si="184"/>
        <v>7.1222183698930381</v>
      </c>
      <c r="L428" s="349">
        <f t="shared" si="185"/>
        <v>1.429925172837637</v>
      </c>
      <c r="M428" s="337">
        <f t="shared" si="169"/>
        <v>1.000867815371727</v>
      </c>
      <c r="N428" s="340">
        <f t="shared" si="170"/>
        <v>4.1645846128036394E-2</v>
      </c>
      <c r="O428" s="341">
        <f t="shared" si="171"/>
        <v>1.0003506609354642</v>
      </c>
      <c r="P428" s="342">
        <f t="shared" si="172"/>
        <v>6.2966902650741507E-2</v>
      </c>
      <c r="Q428" s="343">
        <f t="shared" si="173"/>
        <v>-1.9320513366834582</v>
      </c>
      <c r="R428" s="344">
        <f t="shared" si="174"/>
        <v>-48.221352098452947</v>
      </c>
      <c r="S428" s="346">
        <f t="shared" si="175"/>
        <v>131.77864790154706</v>
      </c>
      <c r="U428" s="319">
        <f t="shared" si="181"/>
        <v>42415.25</v>
      </c>
      <c r="V428" s="319">
        <f t="shared" si="182"/>
        <v>1799053432.5625</v>
      </c>
      <c r="X428" s="345">
        <f t="shared" si="176"/>
        <v>5.0087085611440614</v>
      </c>
      <c r="Y428" s="346">
        <f t="shared" si="177"/>
        <v>-10.457267186185062</v>
      </c>
      <c r="AA428" s="345">
        <f t="shared" si="178"/>
        <v>31.277207115518742</v>
      </c>
      <c r="AB428" s="346">
        <f t="shared" si="179"/>
        <v>-37.764084912267883</v>
      </c>
      <c r="AD428">
        <f t="shared" si="183"/>
        <v>0</v>
      </c>
      <c r="AE428">
        <f t="shared" si="186"/>
        <v>0</v>
      </c>
    </row>
    <row r="429" spans="1:31" x14ac:dyDescent="0.2">
      <c r="A429" s="347">
        <v>42658</v>
      </c>
      <c r="B429" s="364">
        <f t="shared" si="180"/>
        <v>42.658000000000001</v>
      </c>
      <c r="C429" s="337">
        <f t="shared" si="161"/>
        <v>1.2127122988467323</v>
      </c>
      <c r="D429" s="338">
        <f t="shared" si="162"/>
        <v>0.60130529382321607</v>
      </c>
      <c r="E429" s="338">
        <f t="shared" si="163"/>
        <v>1.0000031738451785</v>
      </c>
      <c r="F429" s="339">
        <f t="shared" si="164"/>
        <v>2.5194589832429597E-3</v>
      </c>
      <c r="G429" s="338">
        <f t="shared" si="165"/>
        <v>1</v>
      </c>
      <c r="H429" s="339">
        <f t="shared" si="166"/>
        <v>0</v>
      </c>
      <c r="I429" s="337">
        <f t="shared" si="167"/>
        <v>308775.48456920037</v>
      </c>
      <c r="J429" s="340">
        <f t="shared" si="168"/>
        <v>1.5707930881958174</v>
      </c>
      <c r="K429" s="348">
        <f t="shared" si="184"/>
        <v>7.1621787639554277</v>
      </c>
      <c r="L429" s="349">
        <f t="shared" si="185"/>
        <v>1.4307163405400196</v>
      </c>
      <c r="M429" s="337">
        <f t="shared" si="169"/>
        <v>1.0008777727511848</v>
      </c>
      <c r="N429" s="340">
        <f t="shared" si="170"/>
        <v>4.1883914834077399E-2</v>
      </c>
      <c r="O429" s="341">
        <f t="shared" si="171"/>
        <v>1.0003547009501279</v>
      </c>
      <c r="P429" s="342">
        <f t="shared" si="172"/>
        <v>6.3327498446923994E-2</v>
      </c>
      <c r="Q429" s="343">
        <f t="shared" si="173"/>
        <v>-1.9489468245390595</v>
      </c>
      <c r="R429" s="344">
        <f t="shared" si="174"/>
        <v>-48.361877610013806</v>
      </c>
      <c r="S429" s="346">
        <f t="shared" si="175"/>
        <v>131.63812238998619</v>
      </c>
      <c r="U429" s="319">
        <f t="shared" si="181"/>
        <v>42658</v>
      </c>
      <c r="V429" s="319">
        <f t="shared" si="182"/>
        <v>1819704964</v>
      </c>
      <c r="X429" s="345">
        <f t="shared" si="176"/>
        <v>5.0076503999673072</v>
      </c>
      <c r="Y429" s="346">
        <f t="shared" si="177"/>
        <v>-10.425578009987243</v>
      </c>
      <c r="AA429" s="345">
        <f t="shared" si="178"/>
        <v>31.261369788839893</v>
      </c>
      <c r="AB429" s="346">
        <f t="shared" si="179"/>
        <v>-37.936299600026587</v>
      </c>
      <c r="AD429">
        <f t="shared" si="183"/>
        <v>0</v>
      </c>
      <c r="AE429">
        <f t="shared" si="186"/>
        <v>0</v>
      </c>
    </row>
    <row r="430" spans="1:31" x14ac:dyDescent="0.2">
      <c r="A430" s="347">
        <v>42906.5</v>
      </c>
      <c r="B430" s="364">
        <f t="shared" si="180"/>
        <v>42.906500000000001</v>
      </c>
      <c r="C430" s="337">
        <f t="shared" si="161"/>
        <v>1.2149776907999779</v>
      </c>
      <c r="D430" s="338">
        <f t="shared" si="162"/>
        <v>0.60401772748606253</v>
      </c>
      <c r="E430" s="338">
        <f t="shared" si="163"/>
        <v>1.0000032109306727</v>
      </c>
      <c r="F430" s="339">
        <f t="shared" si="164"/>
        <v>2.5341357820775363E-3</v>
      </c>
      <c r="G430" s="338">
        <f t="shared" si="165"/>
        <v>1</v>
      </c>
      <c r="H430" s="339">
        <f t="shared" si="166"/>
        <v>0</v>
      </c>
      <c r="I430" s="337">
        <f t="shared" si="167"/>
        <v>310574.2259052837</v>
      </c>
      <c r="J430" s="340">
        <f t="shared" si="168"/>
        <v>1.5707931069526928</v>
      </c>
      <c r="K430" s="348">
        <f t="shared" si="184"/>
        <v>7.2030902882527492</v>
      </c>
      <c r="L430" s="349">
        <f t="shared" si="185"/>
        <v>1.4315171554161443</v>
      </c>
      <c r="M430" s="337">
        <f t="shared" si="169"/>
        <v>1.000888024747</v>
      </c>
      <c r="N430" s="340">
        <f t="shared" si="170"/>
        <v>4.2127617733976871E-2</v>
      </c>
      <c r="O430" s="341">
        <f t="shared" si="171"/>
        <v>1.000358860891114</v>
      </c>
      <c r="P430" s="342">
        <f t="shared" si="172"/>
        <v>6.3696639626509538E-2</v>
      </c>
      <c r="Q430" s="343">
        <f t="shared" si="173"/>
        <v>-1.9662599723714833</v>
      </c>
      <c r="R430" s="344">
        <f t="shared" si="174"/>
        <v>-48.505678834009096</v>
      </c>
      <c r="S430" s="346">
        <f t="shared" si="175"/>
        <v>131.4943211659909</v>
      </c>
      <c r="U430" s="319">
        <f t="shared" si="181"/>
        <v>42906.5</v>
      </c>
      <c r="V430" s="319">
        <f t="shared" si="182"/>
        <v>1840967742.25</v>
      </c>
      <c r="X430" s="345">
        <f t="shared" si="176"/>
        <v>5.0065834806456948</v>
      </c>
      <c r="Y430" s="346">
        <f t="shared" si="177"/>
        <v>-10.393658919686663</v>
      </c>
      <c r="AA430" s="345">
        <f t="shared" si="178"/>
        <v>31.245123560329084</v>
      </c>
      <c r="AB430" s="346">
        <f t="shared" si="179"/>
        <v>-38.112019914322438</v>
      </c>
      <c r="AD430">
        <f t="shared" si="183"/>
        <v>0</v>
      </c>
      <c r="AE430">
        <f t="shared" si="186"/>
        <v>0</v>
      </c>
    </row>
    <row r="431" spans="1:31" x14ac:dyDescent="0.2">
      <c r="A431" s="347">
        <v>43155</v>
      </c>
      <c r="B431" s="364">
        <f t="shared" si="180"/>
        <v>43.155000000000001</v>
      </c>
      <c r="C431" s="337">
        <f t="shared" si="161"/>
        <v>1.2172519883938642</v>
      </c>
      <c r="D431" s="338">
        <f t="shared" si="162"/>
        <v>0.60672004521819478</v>
      </c>
      <c r="E431" s="338">
        <f t="shared" si="163"/>
        <v>1.0000032482315759</v>
      </c>
      <c r="F431" s="339">
        <f t="shared" si="164"/>
        <v>2.5488125798203624E-3</v>
      </c>
      <c r="G431" s="338">
        <f t="shared" si="165"/>
        <v>1</v>
      </c>
      <c r="H431" s="339">
        <f t="shared" si="166"/>
        <v>0</v>
      </c>
      <c r="I431" s="337">
        <f t="shared" si="167"/>
        <v>312372.96724136721</v>
      </c>
      <c r="J431" s="340">
        <f t="shared" si="168"/>
        <v>1.5707931254935521</v>
      </c>
      <c r="K431" s="348">
        <f t="shared" si="184"/>
        <v>7.2440063797452217</v>
      </c>
      <c r="L431" s="349">
        <f t="shared" si="185"/>
        <v>1.4323089243607308</v>
      </c>
      <c r="M431" s="337">
        <f t="shared" si="169"/>
        <v>1.0008983361854393</v>
      </c>
      <c r="N431" s="340">
        <f t="shared" si="170"/>
        <v>4.2371315627005537E-2</v>
      </c>
      <c r="O431" s="341">
        <f t="shared" si="171"/>
        <v>1.0003630453526589</v>
      </c>
      <c r="P431" s="342">
        <f t="shared" si="172"/>
        <v>6.4065784854977922E-2</v>
      </c>
      <c r="Q431" s="343">
        <f t="shared" si="173"/>
        <v>-1.9835905660028175</v>
      </c>
      <c r="R431" s="344">
        <f t="shared" si="174"/>
        <v>-48.649418684364505</v>
      </c>
      <c r="S431" s="346">
        <f t="shared" si="175"/>
        <v>131.35058131563551</v>
      </c>
      <c r="U431" s="319">
        <f t="shared" si="181"/>
        <v>43155</v>
      </c>
      <c r="V431" s="319">
        <f t="shared" si="182"/>
        <v>1862354025</v>
      </c>
      <c r="X431" s="345">
        <f t="shared" si="176"/>
        <v>5.0055326771220248</v>
      </c>
      <c r="Y431" s="346">
        <f t="shared" si="177"/>
        <v>-10.362257823836213</v>
      </c>
      <c r="AA431" s="345">
        <f t="shared" si="178"/>
        <v>31.22884377022142</v>
      </c>
      <c r="AB431" s="346">
        <f t="shared" si="179"/>
        <v>-38.28716086052831</v>
      </c>
      <c r="AD431">
        <f t="shared" si="183"/>
        <v>0</v>
      </c>
      <c r="AE431">
        <f t="shared" si="186"/>
        <v>0</v>
      </c>
    </row>
    <row r="432" spans="1:31" x14ac:dyDescent="0.2">
      <c r="A432" s="347">
        <v>43403.5</v>
      </c>
      <c r="B432" s="364">
        <f t="shared" si="180"/>
        <v>43.403500000000001</v>
      </c>
      <c r="C432" s="337">
        <f t="shared" si="161"/>
        <v>1.2195351418042999</v>
      </c>
      <c r="D432" s="338">
        <f t="shared" si="162"/>
        <v>0.60941226425775907</v>
      </c>
      <c r="E432" s="338">
        <f t="shared" si="163"/>
        <v>1.0000032857478884</v>
      </c>
      <c r="F432" s="339">
        <f t="shared" si="164"/>
        <v>2.5634893764651147E-3</v>
      </c>
      <c r="G432" s="338">
        <f t="shared" si="165"/>
        <v>1</v>
      </c>
      <c r="H432" s="339">
        <f t="shared" si="166"/>
        <v>0</v>
      </c>
      <c r="I432" s="337">
        <f t="shared" si="167"/>
        <v>314171.70857745077</v>
      </c>
      <c r="J432" s="340">
        <f t="shared" si="168"/>
        <v>1.5707931438221059</v>
      </c>
      <c r="K432" s="348">
        <f t="shared" si="184"/>
        <v>7.2849269614773275</v>
      </c>
      <c r="L432" s="349">
        <f t="shared" si="185"/>
        <v>1.433091798809869</v>
      </c>
      <c r="M432" s="337">
        <f t="shared" si="169"/>
        <v>1.0009087070646661</v>
      </c>
      <c r="N432" s="340">
        <f t="shared" si="170"/>
        <v>4.2615008484372809E-2</v>
      </c>
      <c r="O432" s="341">
        <f t="shared" si="171"/>
        <v>1.0003672543409712</v>
      </c>
      <c r="P432" s="342">
        <f t="shared" si="172"/>
        <v>6.4434934155432402E-2</v>
      </c>
      <c r="Q432" s="343">
        <f t="shared" si="173"/>
        <v>-2.00093838114491</v>
      </c>
      <c r="R432" s="344">
        <f t="shared" si="174"/>
        <v>-48.793089471991365</v>
      </c>
      <c r="S432" s="346">
        <f t="shared" si="175"/>
        <v>131.20691052800862</v>
      </c>
      <c r="U432" s="319">
        <f t="shared" si="181"/>
        <v>43403.5</v>
      </c>
      <c r="V432" s="319">
        <f t="shared" si="182"/>
        <v>1883863812.25</v>
      </c>
      <c r="X432" s="345">
        <f t="shared" si="176"/>
        <v>5.0044976156353949</v>
      </c>
      <c r="Y432" s="346">
        <f t="shared" si="177"/>
        <v>-10.331366044350066</v>
      </c>
      <c r="AA432" s="345">
        <f t="shared" si="178"/>
        <v>31.212531016565954</v>
      </c>
      <c r="AB432" s="346">
        <f t="shared" si="179"/>
        <v>-38.46172342764131</v>
      </c>
      <c r="AD432">
        <f t="shared" si="183"/>
        <v>0</v>
      </c>
      <c r="AE432">
        <f t="shared" si="186"/>
        <v>0</v>
      </c>
    </row>
    <row r="433" spans="1:31" x14ac:dyDescent="0.2">
      <c r="A433" s="347">
        <v>43652</v>
      </c>
      <c r="B433" s="364">
        <f t="shared" si="180"/>
        <v>43.652000000000001</v>
      </c>
      <c r="C433" s="337">
        <f t="shared" si="161"/>
        <v>1.2218271013863216</v>
      </c>
      <c r="D433" s="338">
        <f t="shared" si="162"/>
        <v>0.61209440229986944</v>
      </c>
      <c r="E433" s="338">
        <f t="shared" si="163"/>
        <v>1.0000033234796097</v>
      </c>
      <c r="F433" s="339">
        <f t="shared" si="164"/>
        <v>2.5781661720054709E-3</v>
      </c>
      <c r="G433" s="338">
        <f t="shared" si="165"/>
        <v>1</v>
      </c>
      <c r="H433" s="339">
        <f t="shared" si="166"/>
        <v>0</v>
      </c>
      <c r="I433" s="337">
        <f t="shared" si="167"/>
        <v>315970.44991353445</v>
      </c>
      <c r="J433" s="340">
        <f t="shared" si="168"/>
        <v>1.5707931619419799</v>
      </c>
      <c r="K433" s="348">
        <f t="shared" si="184"/>
        <v>7.3258519582046242</v>
      </c>
      <c r="L433" s="349">
        <f t="shared" si="185"/>
        <v>1.4338659268599006</v>
      </c>
      <c r="M433" s="337">
        <f t="shared" si="169"/>
        <v>1.0009191373828321</v>
      </c>
      <c r="N433" s="340">
        <f t="shared" si="170"/>
        <v>4.2858696277291677E-2</v>
      </c>
      <c r="O433" s="341">
        <f t="shared" si="171"/>
        <v>1.0003714878622958</v>
      </c>
      <c r="P433" s="342">
        <f t="shared" si="172"/>
        <v>6.480408755097021E-2</v>
      </c>
      <c r="Q433" s="343">
        <f t="shared" si="173"/>
        <v>-2.0183031876727711</v>
      </c>
      <c r="R433" s="344">
        <f t="shared" si="174"/>
        <v>-48.936683725331761</v>
      </c>
      <c r="S433" s="346">
        <f t="shared" si="175"/>
        <v>131.06331627466824</v>
      </c>
      <c r="U433" s="319">
        <f t="shared" si="181"/>
        <v>43652</v>
      </c>
      <c r="V433" s="319">
        <f t="shared" si="182"/>
        <v>1905497104</v>
      </c>
      <c r="X433" s="345">
        <f t="shared" si="176"/>
        <v>5.0034779328357972</v>
      </c>
      <c r="Y433" s="346">
        <f t="shared" si="177"/>
        <v>-10.300975094491255</v>
      </c>
      <c r="AA433" s="345">
        <f t="shared" si="178"/>
        <v>31.196185892837693</v>
      </c>
      <c r="AB433" s="346">
        <f t="shared" si="179"/>
        <v>-38.635708630840519</v>
      </c>
      <c r="AD433">
        <f t="shared" si="183"/>
        <v>0</v>
      </c>
      <c r="AE433">
        <f t="shared" si="186"/>
        <v>0</v>
      </c>
    </row>
    <row r="434" spans="1:31" x14ac:dyDescent="0.2">
      <c r="A434" s="347">
        <v>43906</v>
      </c>
      <c r="B434" s="364">
        <f t="shared" si="180"/>
        <v>43.905999999999999</v>
      </c>
      <c r="C434" s="337">
        <f t="shared" si="161"/>
        <v>1.2241788376360141</v>
      </c>
      <c r="D434" s="338">
        <f t="shared" si="162"/>
        <v>0.61482550430126526</v>
      </c>
      <c r="E434" s="338">
        <f t="shared" si="163"/>
        <v>1.000003362269053</v>
      </c>
      <c r="F434" s="339">
        <f t="shared" si="164"/>
        <v>2.5931678049309985E-3</v>
      </c>
      <c r="G434" s="338">
        <f t="shared" si="165"/>
        <v>1</v>
      </c>
      <c r="H434" s="339">
        <f t="shared" si="166"/>
        <v>0</v>
      </c>
      <c r="I434" s="337">
        <f t="shared" si="167"/>
        <v>317809.0024260708</v>
      </c>
      <c r="J434" s="340">
        <f t="shared" si="168"/>
        <v>1.5707931802509272</v>
      </c>
      <c r="K434" s="348">
        <f t="shared" si="184"/>
        <v>7.3676872256256809</v>
      </c>
      <c r="L434" s="349">
        <f t="shared" si="185"/>
        <v>1.4346483003918866</v>
      </c>
      <c r="M434" s="337">
        <f t="shared" si="169"/>
        <v>1.0009298599779992</v>
      </c>
      <c r="N434" s="340">
        <f t="shared" si="170"/>
        <v>4.3107772298819215E-2</v>
      </c>
      <c r="O434" s="341">
        <f t="shared" si="171"/>
        <v>1.0003758404433236</v>
      </c>
      <c r="P434" s="342">
        <f t="shared" si="172"/>
        <v>6.5181415599671624E-2</v>
      </c>
      <c r="Q434" s="343">
        <f t="shared" si="173"/>
        <v>-2.0360696402674709</v>
      </c>
      <c r="R434" s="344">
        <f t="shared" si="174"/>
        <v>-49.083369470480456</v>
      </c>
      <c r="S434" s="346">
        <f t="shared" si="175"/>
        <v>130.91663052951955</v>
      </c>
      <c r="U434" s="319">
        <f t="shared" si="181"/>
        <v>43906</v>
      </c>
      <c r="V434" s="319">
        <f t="shared" si="182"/>
        <v>1927736836</v>
      </c>
      <c r="X434" s="345">
        <f t="shared" si="176"/>
        <v>5.0024512068813198</v>
      </c>
      <c r="Y434" s="346">
        <f t="shared" si="177"/>
        <v>-10.270420446907634</v>
      </c>
      <c r="AA434" s="345">
        <f t="shared" si="178"/>
        <v>31.179446166197469</v>
      </c>
      <c r="AB434" s="346">
        <f t="shared" si="179"/>
        <v>-38.81294902357282</v>
      </c>
      <c r="AD434">
        <f t="shared" si="183"/>
        <v>0</v>
      </c>
      <c r="AE434">
        <f t="shared" si="186"/>
        <v>0</v>
      </c>
    </row>
    <row r="435" spans="1:31" x14ac:dyDescent="0.2">
      <c r="A435" s="347">
        <v>44160</v>
      </c>
      <c r="B435" s="364">
        <f t="shared" si="180"/>
        <v>44.16</v>
      </c>
      <c r="C435" s="337">
        <f t="shared" si="161"/>
        <v>1.2265396698805171</v>
      </c>
      <c r="D435" s="338">
        <f t="shared" si="162"/>
        <v>0.61754611293063388</v>
      </c>
      <c r="E435" s="338">
        <f t="shared" si="163"/>
        <v>1.0000034012835459</v>
      </c>
      <c r="F435" s="339">
        <f t="shared" si="164"/>
        <v>2.608169436689344E-3</v>
      </c>
      <c r="G435" s="338">
        <f t="shared" si="165"/>
        <v>1</v>
      </c>
      <c r="H435" s="339">
        <f t="shared" si="166"/>
        <v>0</v>
      </c>
      <c r="I435" s="337">
        <f t="shared" si="167"/>
        <v>319647.55493860721</v>
      </c>
      <c r="J435" s="340">
        <f t="shared" si="168"/>
        <v>1.5707931983492553</v>
      </c>
      <c r="K435" s="348">
        <f t="shared" si="184"/>
        <v>7.4095269519417295</v>
      </c>
      <c r="L435" s="349">
        <f t="shared" si="185"/>
        <v>1.4354218386616564</v>
      </c>
      <c r="M435" s="337">
        <f t="shared" si="169"/>
        <v>1.0009406446683855</v>
      </c>
      <c r="N435" s="340">
        <f t="shared" si="170"/>
        <v>4.3356842968431772E-2</v>
      </c>
      <c r="O435" s="341">
        <f t="shared" si="171"/>
        <v>1.0003802186686563</v>
      </c>
      <c r="P435" s="342">
        <f t="shared" si="172"/>
        <v>6.555874797551027E-2</v>
      </c>
      <c r="Q435" s="343">
        <f t="shared" si="173"/>
        <v>-2.0538533413782831</v>
      </c>
      <c r="R435" s="344">
        <f t="shared" si="174"/>
        <v>-49.229960142218729</v>
      </c>
      <c r="S435" s="346">
        <f t="shared" si="175"/>
        <v>130.77003985778128</v>
      </c>
      <c r="U435" s="319">
        <f t="shared" si="181"/>
        <v>44160</v>
      </c>
      <c r="V435" s="319">
        <f t="shared" si="182"/>
        <v>1950105600</v>
      </c>
      <c r="X435" s="345">
        <f t="shared" si="176"/>
        <v>5.001439812078039</v>
      </c>
      <c r="Y435" s="346">
        <f t="shared" si="177"/>
        <v>-10.240371703850755</v>
      </c>
      <c r="AA435" s="345">
        <f t="shared" si="178"/>
        <v>31.162673859889939</v>
      </c>
      <c r="AB435" s="346">
        <f t="shared" si="179"/>
        <v>-38.989588438367996</v>
      </c>
      <c r="AD435">
        <f t="shared" si="183"/>
        <v>0</v>
      </c>
      <c r="AE435">
        <f t="shared" si="186"/>
        <v>0</v>
      </c>
    </row>
    <row r="436" spans="1:31" x14ac:dyDescent="0.2">
      <c r="A436" s="347">
        <v>44414</v>
      </c>
      <c r="B436" s="364">
        <f t="shared" si="180"/>
        <v>44.414000000000001</v>
      </c>
      <c r="C436" s="337">
        <f t="shared" si="161"/>
        <v>1.228909545697459</v>
      </c>
      <c r="D436" s="338">
        <f t="shared" si="162"/>
        <v>0.62025624850542238</v>
      </c>
      <c r="E436" s="338">
        <f t="shared" si="163"/>
        <v>1.0000034405230884</v>
      </c>
      <c r="F436" s="339">
        <f t="shared" si="164"/>
        <v>2.6231710672737557E-3</v>
      </c>
      <c r="G436" s="338">
        <f t="shared" si="165"/>
        <v>1</v>
      </c>
      <c r="H436" s="339">
        <f t="shared" si="166"/>
        <v>0</v>
      </c>
      <c r="I436" s="337">
        <f t="shared" si="167"/>
        <v>321486.10745114373</v>
      </c>
      <c r="J436" s="340">
        <f t="shared" si="168"/>
        <v>1.5707932162405778</v>
      </c>
      <c r="K436" s="348">
        <f t="shared" si="184"/>
        <v>7.4513710620421856</v>
      </c>
      <c r="L436" s="349">
        <f t="shared" si="185"/>
        <v>1.4361866895821873</v>
      </c>
      <c r="M436" s="337">
        <f t="shared" si="169"/>
        <v>1.0009514914519839</v>
      </c>
      <c r="N436" s="340">
        <f t="shared" si="170"/>
        <v>4.3605908255400054E-2</v>
      </c>
      <c r="O436" s="341">
        <f t="shared" si="171"/>
        <v>1.0003846225450788</v>
      </c>
      <c r="P436" s="342">
        <f t="shared" si="172"/>
        <v>6.5936084703131559E-2</v>
      </c>
      <c r="Q436" s="343">
        <f t="shared" si="173"/>
        <v>-2.0716540285981115</v>
      </c>
      <c r="R436" s="344">
        <f t="shared" si="174"/>
        <v>-49.376448429720107</v>
      </c>
      <c r="S436" s="346">
        <f t="shared" si="175"/>
        <v>130.62355157027989</v>
      </c>
      <c r="U436" s="319">
        <f t="shared" si="181"/>
        <v>44414</v>
      </c>
      <c r="V436" s="319">
        <f t="shared" si="182"/>
        <v>1972603396</v>
      </c>
      <c r="X436" s="345">
        <f t="shared" si="176"/>
        <v>5.0004433919368054</v>
      </c>
      <c r="Y436" s="346">
        <f t="shared" si="177"/>
        <v>-10.210820388977641</v>
      </c>
      <c r="AA436" s="345">
        <f t="shared" si="178"/>
        <v>31.145869592811341</v>
      </c>
      <c r="AB436" s="346">
        <f t="shared" si="179"/>
        <v>-39.165628040742469</v>
      </c>
      <c r="AD436">
        <f t="shared" si="183"/>
        <v>0</v>
      </c>
      <c r="AE436">
        <f t="shared" si="186"/>
        <v>0</v>
      </c>
    </row>
    <row r="437" spans="1:31" x14ac:dyDescent="0.2">
      <c r="A437" s="347">
        <v>44668</v>
      </c>
      <c r="B437" s="364">
        <f t="shared" si="180"/>
        <v>44.667999999999999</v>
      </c>
      <c r="C437" s="337">
        <f t="shared" si="161"/>
        <v>1.231288412868019</v>
      </c>
      <c r="D437" s="338">
        <f t="shared" si="162"/>
        <v>0.6229559318023381</v>
      </c>
      <c r="E437" s="338">
        <f t="shared" si="163"/>
        <v>1.0000034799876807</v>
      </c>
      <c r="F437" s="339">
        <f t="shared" si="164"/>
        <v>2.6381726966774807E-3</v>
      </c>
      <c r="G437" s="338">
        <f t="shared" si="165"/>
        <v>1</v>
      </c>
      <c r="H437" s="339">
        <f t="shared" si="166"/>
        <v>0</v>
      </c>
      <c r="I437" s="337">
        <f t="shared" si="167"/>
        <v>323324.65996368043</v>
      </c>
      <c r="J437" s="340">
        <f t="shared" si="168"/>
        <v>1.5707932339284258</v>
      </c>
      <c r="K437" s="348">
        <f t="shared" si="184"/>
        <v>7.4932194824864302</v>
      </c>
      <c r="L437" s="349">
        <f t="shared" si="185"/>
        <v>1.436942997803355</v>
      </c>
      <c r="M437" s="337">
        <f t="shared" si="169"/>
        <v>1.0009624003267759</v>
      </c>
      <c r="N437" s="340">
        <f t="shared" si="170"/>
        <v>4.3854968128998757E-2</v>
      </c>
      <c r="O437" s="341">
        <f t="shared" si="171"/>
        <v>1.0003890520794136</v>
      </c>
      <c r="P437" s="342">
        <f t="shared" si="172"/>
        <v>6.6313425807174115E-2</v>
      </c>
      <c r="Q437" s="343">
        <f t="shared" si="173"/>
        <v>-2.0894714346131797</v>
      </c>
      <c r="R437" s="344">
        <f t="shared" si="174"/>
        <v>-49.522827235428728</v>
      </c>
      <c r="S437" s="346">
        <f t="shared" si="175"/>
        <v>130.47717276457126</v>
      </c>
      <c r="U437" s="319">
        <f t="shared" si="181"/>
        <v>44668</v>
      </c>
      <c r="V437" s="319">
        <f t="shared" si="182"/>
        <v>1995230224</v>
      </c>
      <c r="X437" s="345">
        <f t="shared" si="176"/>
        <v>4.99946159989568</v>
      </c>
      <c r="Y437" s="346">
        <f t="shared" si="177"/>
        <v>-10.181758212902789</v>
      </c>
      <c r="AA437" s="345">
        <f t="shared" si="178"/>
        <v>31.129033978837398</v>
      </c>
      <c r="AB437" s="346">
        <f t="shared" si="179"/>
        <v>-39.341069022525964</v>
      </c>
      <c r="AD437">
        <f t="shared" si="183"/>
        <v>0</v>
      </c>
      <c r="AE437">
        <f t="shared" si="186"/>
        <v>0</v>
      </c>
    </row>
    <row r="438" spans="1:31" x14ac:dyDescent="0.2">
      <c r="A438" s="347">
        <v>44928.25</v>
      </c>
      <c r="B438" s="364">
        <f t="shared" si="180"/>
        <v>44.928249999999998</v>
      </c>
      <c r="C438" s="337">
        <f t="shared" si="161"/>
        <v>1.23373508670738</v>
      </c>
      <c r="D438" s="338">
        <f t="shared" si="162"/>
        <v>0.625711225283763</v>
      </c>
      <c r="E438" s="338">
        <f t="shared" si="163"/>
        <v>1.0000035206567748</v>
      </c>
      <c r="F438" s="339">
        <f t="shared" si="164"/>
        <v>2.6535434594313076E-3</v>
      </c>
      <c r="G438" s="338">
        <f t="shared" si="165"/>
        <v>1</v>
      </c>
      <c r="H438" s="339">
        <f t="shared" si="166"/>
        <v>0</v>
      </c>
      <c r="I438" s="337">
        <f t="shared" si="167"/>
        <v>325208.45244945871</v>
      </c>
      <c r="J438" s="340">
        <f t="shared" si="168"/>
        <v>1.570793251844069</v>
      </c>
      <c r="K438" s="348">
        <f t="shared" si="184"/>
        <v>7.5361020333369968</v>
      </c>
      <c r="L438" s="349">
        <f t="shared" si="185"/>
        <v>1.4377092033029788</v>
      </c>
      <c r="M438" s="337">
        <f t="shared" si="169"/>
        <v>1.0009736420282247</v>
      </c>
      <c r="N438" s="340">
        <f t="shared" si="170"/>
        <v>4.4110150797430366E-2</v>
      </c>
      <c r="O438" s="341">
        <f t="shared" si="171"/>
        <v>1.0003936172280716</v>
      </c>
      <c r="P438" s="342">
        <f t="shared" si="172"/>
        <v>6.6700056444363456E-2</v>
      </c>
      <c r="Q438" s="343">
        <f t="shared" si="173"/>
        <v>-2.1077443176440682</v>
      </c>
      <c r="R438" s="344">
        <f t="shared" si="174"/>
        <v>-49.672687122341848</v>
      </c>
      <c r="S438" s="346">
        <f t="shared" si="175"/>
        <v>130.32731287765816</v>
      </c>
      <c r="U438" s="319">
        <f t="shared" si="181"/>
        <v>44928.25</v>
      </c>
      <c r="V438" s="319">
        <f t="shared" si="182"/>
        <v>2018547648.0625</v>
      </c>
      <c r="X438" s="345">
        <f t="shared" si="176"/>
        <v>4.9984704697201678</v>
      </c>
      <c r="Y438" s="346">
        <f t="shared" si="177"/>
        <v>-10.152479787897935</v>
      </c>
      <c r="AA438" s="345">
        <f t="shared" si="178"/>
        <v>31.111752225982023</v>
      </c>
      <c r="AB438" s="346">
        <f t="shared" si="179"/>
        <v>-39.520207334443917</v>
      </c>
      <c r="AD438">
        <f t="shared" si="183"/>
        <v>0</v>
      </c>
      <c r="AE438">
        <f t="shared" si="186"/>
        <v>0</v>
      </c>
    </row>
    <row r="439" spans="1:31" x14ac:dyDescent="0.2">
      <c r="A439" s="347">
        <v>45188.5</v>
      </c>
      <c r="B439" s="364">
        <f t="shared" si="180"/>
        <v>45.188499999999998</v>
      </c>
      <c r="C439" s="337">
        <f t="shared" si="161"/>
        <v>1.2361910895059283</v>
      </c>
      <c r="D439" s="338">
        <f t="shared" si="162"/>
        <v>0.6284555913712947</v>
      </c>
      <c r="E439" s="338">
        <f t="shared" si="163"/>
        <v>1.0000035615621299</v>
      </c>
      <c r="F439" s="339">
        <f t="shared" si="164"/>
        <v>2.6689142209312777E-3</v>
      </c>
      <c r="G439" s="338">
        <f t="shared" si="165"/>
        <v>1</v>
      </c>
      <c r="H439" s="339">
        <f t="shared" si="166"/>
        <v>0</v>
      </c>
      <c r="I439" s="337">
        <f t="shared" si="167"/>
        <v>327092.24493523716</v>
      </c>
      <c r="J439" s="340">
        <f t="shared" si="168"/>
        <v>1.5707932695533524</v>
      </c>
      <c r="K439" s="348">
        <f t="shared" si="184"/>
        <v>7.5789889583467396</v>
      </c>
      <c r="L439" s="349">
        <f t="shared" si="185"/>
        <v>1.4384667378496419</v>
      </c>
      <c r="M439" s="337">
        <f t="shared" si="169"/>
        <v>1.0009849489098028</v>
      </c>
      <c r="N439" s="340">
        <f t="shared" si="170"/>
        <v>4.4365327717516098E-2</v>
      </c>
      <c r="O439" s="341">
        <f t="shared" si="171"/>
        <v>1.0003982093274979</v>
      </c>
      <c r="P439" s="342">
        <f t="shared" si="172"/>
        <v>6.7086691728345832E-2</v>
      </c>
      <c r="Q439" s="343">
        <f t="shared" si="173"/>
        <v>-2.1260341698326117</v>
      </c>
      <c r="R439" s="344">
        <f t="shared" si="174"/>
        <v>-49.822417649846635</v>
      </c>
      <c r="S439" s="346">
        <f t="shared" si="175"/>
        <v>130.17758235015336</v>
      </c>
      <c r="U439" s="319">
        <f t="shared" si="181"/>
        <v>45188.5</v>
      </c>
      <c r="V439" s="319">
        <f t="shared" si="182"/>
        <v>2042000532.25</v>
      </c>
      <c r="X439" s="345">
        <f t="shared" si="176"/>
        <v>4.9974939903264231</v>
      </c>
      <c r="Y439" s="346">
        <f t="shared" si="177"/>
        <v>-10.123697830723145</v>
      </c>
      <c r="AA439" s="345">
        <f t="shared" si="178"/>
        <v>31.094438853187224</v>
      </c>
      <c r="AB439" s="346">
        <f t="shared" si="179"/>
        <v>-39.698719819123475</v>
      </c>
      <c r="AD439">
        <f t="shared" si="183"/>
        <v>0</v>
      </c>
      <c r="AE439">
        <f t="shared" si="186"/>
        <v>0</v>
      </c>
    </row>
    <row r="440" spans="1:31" x14ac:dyDescent="0.2">
      <c r="A440" s="347">
        <v>45448.75</v>
      </c>
      <c r="B440" s="364">
        <f t="shared" si="180"/>
        <v>45.448749999999997</v>
      </c>
      <c r="C440" s="337">
        <f t="shared" si="161"/>
        <v>1.2386563657713978</v>
      </c>
      <c r="D440" s="338">
        <f t="shared" si="162"/>
        <v>0.63118905384952151</v>
      </c>
      <c r="E440" s="338">
        <f t="shared" si="163"/>
        <v>1.0000036027037462</v>
      </c>
      <c r="F440" s="339">
        <f t="shared" si="164"/>
        <v>2.6842849811701277E-3</v>
      </c>
      <c r="G440" s="338">
        <f t="shared" si="165"/>
        <v>1</v>
      </c>
      <c r="H440" s="339">
        <f t="shared" si="166"/>
        <v>0</v>
      </c>
      <c r="I440" s="337">
        <f t="shared" si="167"/>
        <v>328976.03742101562</v>
      </c>
      <c r="J440" s="340">
        <f t="shared" si="168"/>
        <v>1.5707932870598209</v>
      </c>
      <c r="K440" s="348">
        <f t="shared" si="184"/>
        <v>7.6218801836778782</v>
      </c>
      <c r="L440" s="349">
        <f t="shared" si="185"/>
        <v>1.4392157469507605</v>
      </c>
      <c r="M440" s="337">
        <f t="shared" si="169"/>
        <v>1.0009963209693018</v>
      </c>
      <c r="N440" s="340">
        <f t="shared" si="170"/>
        <v>4.4620498856219486E-2</v>
      </c>
      <c r="O440" s="341">
        <f t="shared" si="171"/>
        <v>1.0004028283851591</v>
      </c>
      <c r="P440" s="342">
        <f t="shared" si="172"/>
        <v>6.747333168560167E-2</v>
      </c>
      <c r="Q440" s="343">
        <f t="shared" si="173"/>
        <v>-2.1443406897501198</v>
      </c>
      <c r="R440" s="344">
        <f t="shared" si="174"/>
        <v>-49.972011843566662</v>
      </c>
      <c r="S440" s="346">
        <f t="shared" si="175"/>
        <v>130.02798815643334</v>
      </c>
      <c r="U440" s="319">
        <f t="shared" si="181"/>
        <v>45448.75</v>
      </c>
      <c r="V440" s="319">
        <f t="shared" si="182"/>
        <v>2065588876.5625</v>
      </c>
      <c r="X440" s="345">
        <f t="shared" si="176"/>
        <v>4.9965318192490962</v>
      </c>
      <c r="Y440" s="346">
        <f t="shared" si="177"/>
        <v>-10.095404002727848</v>
      </c>
      <c r="AA440" s="345">
        <f t="shared" si="178"/>
        <v>31.077094504347045</v>
      </c>
      <c r="AB440" s="346">
        <f t="shared" si="179"/>
        <v>-39.876607840838794</v>
      </c>
      <c r="AD440">
        <f t="shared" si="183"/>
        <v>0</v>
      </c>
      <c r="AE440">
        <f t="shared" si="186"/>
        <v>0</v>
      </c>
    </row>
    <row r="441" spans="1:31" x14ac:dyDescent="0.2">
      <c r="A441" s="347">
        <v>45709</v>
      </c>
      <c r="B441" s="364">
        <f t="shared" si="180"/>
        <v>45.709000000000003</v>
      </c>
      <c r="C441" s="337">
        <f t="shared" si="161"/>
        <v>1.2411308602437239</v>
      </c>
      <c r="D441" s="338">
        <f t="shared" si="162"/>
        <v>0.63391163696617181</v>
      </c>
      <c r="E441" s="338">
        <f t="shared" si="163"/>
        <v>1.0000036440816238</v>
      </c>
      <c r="F441" s="339">
        <f t="shared" si="164"/>
        <v>2.6996557401405951E-3</v>
      </c>
      <c r="G441" s="338">
        <f t="shared" si="165"/>
        <v>1</v>
      </c>
      <c r="H441" s="339">
        <f t="shared" si="166"/>
        <v>0</v>
      </c>
      <c r="I441" s="337">
        <f t="shared" si="167"/>
        <v>330859.82990679424</v>
      </c>
      <c r="J441" s="340">
        <f t="shared" si="168"/>
        <v>1.5707933043669389</v>
      </c>
      <c r="K441" s="348">
        <f t="shared" si="184"/>
        <v>7.6647756371380655</v>
      </c>
      <c r="L441" s="349">
        <f t="shared" si="185"/>
        <v>1.4399563728952121</v>
      </c>
      <c r="M441" s="337">
        <f t="shared" si="169"/>
        <v>1.0010077582045005</v>
      </c>
      <c r="N441" s="340">
        <f t="shared" si="170"/>
        <v>4.4875664180508555E-2</v>
      </c>
      <c r="O441" s="341">
        <f t="shared" si="171"/>
        <v>1.0004074744085651</v>
      </c>
      <c r="P441" s="342">
        <f t="shared" si="172"/>
        <v>6.7859976342603823E-2</v>
      </c>
      <c r="Q441" s="343">
        <f t="shared" si="173"/>
        <v>-2.1626635719545253</v>
      </c>
      <c r="R441" s="344">
        <f t="shared" si="174"/>
        <v>-50.121462940065342</v>
      </c>
      <c r="S441" s="346">
        <f t="shared" si="175"/>
        <v>129.87853705993467</v>
      </c>
      <c r="U441" s="319">
        <f t="shared" si="181"/>
        <v>45709</v>
      </c>
      <c r="V441" s="319">
        <f t="shared" si="182"/>
        <v>2089312681</v>
      </c>
      <c r="X441" s="345">
        <f t="shared" si="176"/>
        <v>4.9955836235794369</v>
      </c>
      <c r="Y441" s="346">
        <f t="shared" si="177"/>
        <v>-10.067590149665765</v>
      </c>
      <c r="AA441" s="345">
        <f t="shared" si="178"/>
        <v>31.059719817812301</v>
      </c>
      <c r="AB441" s="346">
        <f t="shared" si="179"/>
        <v>-40.053872790399573</v>
      </c>
      <c r="AD441">
        <f t="shared" si="183"/>
        <v>0</v>
      </c>
      <c r="AE441">
        <f t="shared" si="186"/>
        <v>0</v>
      </c>
    </row>
    <row r="442" spans="1:31" x14ac:dyDescent="0.2">
      <c r="A442" s="347">
        <v>45975.25</v>
      </c>
      <c r="B442" s="364">
        <f t="shared" si="180"/>
        <v>45.975250000000003</v>
      </c>
      <c r="C442" s="337">
        <f t="shared" si="161"/>
        <v>1.2436718856421198</v>
      </c>
      <c r="D442" s="338">
        <f t="shared" si="162"/>
        <v>0.63668575584534981</v>
      </c>
      <c r="E442" s="338">
        <f t="shared" si="163"/>
        <v>1.0000036866579523</v>
      </c>
      <c r="F442" s="339">
        <f t="shared" si="164"/>
        <v>2.7153808668737979E-3</v>
      </c>
      <c r="G442" s="338">
        <f t="shared" si="165"/>
        <v>1</v>
      </c>
      <c r="H442" s="339">
        <f t="shared" si="166"/>
        <v>0</v>
      </c>
      <c r="I442" s="337">
        <f t="shared" si="167"/>
        <v>332787.05276688485</v>
      </c>
      <c r="J442" s="340">
        <f t="shared" si="168"/>
        <v>1.570793321870301</v>
      </c>
      <c r="K442" s="348">
        <f t="shared" si="184"/>
        <v>7.7086643366363914</v>
      </c>
      <c r="L442" s="349">
        <f t="shared" si="185"/>
        <v>1.4407055435933456</v>
      </c>
      <c r="M442" s="337">
        <f t="shared" si="169"/>
        <v>1.0010195265669604</v>
      </c>
      <c r="N442" s="340">
        <f t="shared" si="170"/>
        <v>4.5136706227369261E-2</v>
      </c>
      <c r="O442" s="341">
        <f t="shared" si="171"/>
        <v>1.0004122554582227</v>
      </c>
      <c r="P442" s="342">
        <f t="shared" si="172"/>
        <v>6.8255539888582406E-2</v>
      </c>
      <c r="Q442" s="343">
        <f t="shared" si="173"/>
        <v>-2.1814254938070166</v>
      </c>
      <c r="R442" s="344">
        <f t="shared" si="174"/>
        <v>-50.274204673495461</v>
      </c>
      <c r="S442" s="346">
        <f t="shared" si="175"/>
        <v>129.72579532650454</v>
      </c>
      <c r="U442" s="319">
        <f t="shared" si="181"/>
        <v>45975.25</v>
      </c>
      <c r="V442" s="319">
        <f t="shared" si="182"/>
        <v>2113723612.5625</v>
      </c>
      <c r="X442" s="345">
        <f t="shared" si="176"/>
        <v>4.9946276924434194</v>
      </c>
      <c r="Y442" s="346">
        <f t="shared" si="177"/>
        <v>-10.03962344092524</v>
      </c>
      <c r="AA442" s="345">
        <f t="shared" si="178"/>
        <v>31.041913827095826</v>
      </c>
      <c r="AB442" s="346">
        <f t="shared" si="179"/>
        <v>-40.234581232570207</v>
      </c>
      <c r="AD442">
        <f t="shared" si="183"/>
        <v>0</v>
      </c>
      <c r="AE442">
        <f t="shared" si="186"/>
        <v>0</v>
      </c>
    </row>
    <row r="443" spans="1:31" x14ac:dyDescent="0.2">
      <c r="A443" s="347">
        <v>46241.5</v>
      </c>
      <c r="B443" s="364">
        <f t="shared" si="180"/>
        <v>46.241500000000002</v>
      </c>
      <c r="C443" s="337">
        <f t="shared" si="161"/>
        <v>1.2462224429375259</v>
      </c>
      <c r="D443" s="338">
        <f t="shared" si="162"/>
        <v>0.63944854071929658</v>
      </c>
      <c r="E443" s="338">
        <f t="shared" si="163"/>
        <v>1.0000037294815614</v>
      </c>
      <c r="F443" s="339">
        <f t="shared" si="164"/>
        <v>2.731105992264081E-3</v>
      </c>
      <c r="G443" s="338">
        <f t="shared" si="165"/>
        <v>1</v>
      </c>
      <c r="H443" s="339">
        <f t="shared" si="166"/>
        <v>0</v>
      </c>
      <c r="I443" s="337">
        <f t="shared" si="167"/>
        <v>334714.27562697552</v>
      </c>
      <c r="J443" s="340">
        <f t="shared" si="168"/>
        <v>1.5707933391721007</v>
      </c>
      <c r="K443" s="348">
        <f t="shared" si="184"/>
        <v>7.7525573136863599</v>
      </c>
      <c r="L443" s="349">
        <f t="shared" si="185"/>
        <v>1.4414462314813123</v>
      </c>
      <c r="M443" s="337">
        <f t="shared" si="169"/>
        <v>1.0010313631402372</v>
      </c>
      <c r="N443" s="340">
        <f t="shared" si="170"/>
        <v>4.5397742118697688E-2</v>
      </c>
      <c r="O443" s="341">
        <f t="shared" si="171"/>
        <v>1.0004170647473738</v>
      </c>
      <c r="P443" s="342">
        <f t="shared" si="172"/>
        <v>6.8651108409537809E-2</v>
      </c>
      <c r="Q443" s="343">
        <f t="shared" si="173"/>
        <v>-2.2002038828401362</v>
      </c>
      <c r="R443" s="344">
        <f t="shared" si="174"/>
        <v>-50.426782966369018</v>
      </c>
      <c r="S443" s="346">
        <f t="shared" si="175"/>
        <v>129.57321703363098</v>
      </c>
      <c r="U443" s="319">
        <f t="shared" si="181"/>
        <v>46241.5</v>
      </c>
      <c r="V443" s="319">
        <f t="shared" si="182"/>
        <v>2138276322.25</v>
      </c>
      <c r="X443" s="345">
        <f t="shared" si="176"/>
        <v>4.993685712910322</v>
      </c>
      <c r="Y443" s="346">
        <f t="shared" si="177"/>
        <v>-10.012142397171543</v>
      </c>
      <c r="AA443" s="345">
        <f t="shared" si="178"/>
        <v>31.024077417595805</v>
      </c>
      <c r="AB443" s="346">
        <f t="shared" si="179"/>
        <v>-40.414640569197488</v>
      </c>
      <c r="AD443">
        <f t="shared" si="183"/>
        <v>0</v>
      </c>
      <c r="AE443">
        <f t="shared" si="186"/>
        <v>0</v>
      </c>
    </row>
    <row r="444" spans="1:31" x14ac:dyDescent="0.2">
      <c r="A444" s="347">
        <v>46507.75</v>
      </c>
      <c r="B444" s="364">
        <f t="shared" si="180"/>
        <v>46.507750000000001</v>
      </c>
      <c r="C444" s="337">
        <f t="shared" si="161"/>
        <v>1.2487824737250974</v>
      </c>
      <c r="D444" s="338">
        <f t="shared" si="162"/>
        <v>0.64220001898744616</v>
      </c>
      <c r="E444" s="338">
        <f t="shared" si="163"/>
        <v>1.0000037725524509</v>
      </c>
      <c r="F444" s="339">
        <f t="shared" si="164"/>
        <v>2.7468311163036676E-3</v>
      </c>
      <c r="G444" s="338">
        <f t="shared" si="165"/>
        <v>1</v>
      </c>
      <c r="H444" s="339">
        <f t="shared" si="166"/>
        <v>0</v>
      </c>
      <c r="I444" s="337">
        <f t="shared" si="167"/>
        <v>336641.49848706636</v>
      </c>
      <c r="J444" s="340">
        <f t="shared" si="168"/>
        <v>1.5707933562757999</v>
      </c>
      <c r="K444" s="348">
        <f t="shared" si="184"/>
        <v>7.7964544960418705</v>
      </c>
      <c r="L444" s="349">
        <f t="shared" si="185"/>
        <v>1.4421785790243853</v>
      </c>
      <c r="M444" s="337">
        <f t="shared" si="169"/>
        <v>1.0010432679219121</v>
      </c>
      <c r="N444" s="340">
        <f t="shared" si="170"/>
        <v>4.5658771819138959E-2</v>
      </c>
      <c r="O444" s="341">
        <f t="shared" si="171"/>
        <v>1.0004219022841991</v>
      </c>
      <c r="P444" s="342">
        <f t="shared" si="172"/>
        <v>6.9046681933791529E-2</v>
      </c>
      <c r="Q444" s="343">
        <f t="shared" si="173"/>
        <v>-2.2189984009724522</v>
      </c>
      <c r="R444" s="344">
        <f t="shared" si="174"/>
        <v>-50.579191225694942</v>
      </c>
      <c r="S444" s="346">
        <f t="shared" si="175"/>
        <v>129.42080877430504</v>
      </c>
      <c r="U444" s="319">
        <f t="shared" si="181"/>
        <v>46507.75</v>
      </c>
      <c r="V444" s="319">
        <f t="shared" si="182"/>
        <v>2162970810.0625</v>
      </c>
      <c r="X444" s="345">
        <f t="shared" si="176"/>
        <v>4.9927573575357238</v>
      </c>
      <c r="Y444" s="346">
        <f t="shared" si="177"/>
        <v>-9.9851388539184551</v>
      </c>
      <c r="AA444" s="345">
        <f t="shared" si="178"/>
        <v>31.006211254838085</v>
      </c>
      <c r="AB444" s="346">
        <f t="shared" si="179"/>
        <v>-40.594052371776492</v>
      </c>
      <c r="AD444">
        <f t="shared" si="183"/>
        <v>0</v>
      </c>
      <c r="AE444">
        <f t="shared" si="186"/>
        <v>0</v>
      </c>
    </row>
    <row r="445" spans="1:31" x14ac:dyDescent="0.2">
      <c r="A445" s="347">
        <v>46774</v>
      </c>
      <c r="B445" s="364">
        <f t="shared" si="180"/>
        <v>46.774000000000001</v>
      </c>
      <c r="C445" s="337">
        <f t="shared" si="161"/>
        <v>1.2513519198618837</v>
      </c>
      <c r="D445" s="338">
        <f t="shared" si="162"/>
        <v>0.64494021851021777</v>
      </c>
      <c r="E445" s="338">
        <f t="shared" si="163"/>
        <v>1.0000038158706208</v>
      </c>
      <c r="F445" s="339">
        <f t="shared" si="164"/>
        <v>2.7625562389847805E-3</v>
      </c>
      <c r="G445" s="338">
        <f t="shared" si="165"/>
        <v>1</v>
      </c>
      <c r="H445" s="339">
        <f t="shared" si="166"/>
        <v>0</v>
      </c>
      <c r="I445" s="337">
        <f t="shared" si="167"/>
        <v>338568.72134715726</v>
      </c>
      <c r="J445" s="340">
        <f t="shared" si="168"/>
        <v>1.5707933731847816</v>
      </c>
      <c r="K445" s="348">
        <f t="shared" si="184"/>
        <v>7.8403558130679691</v>
      </c>
      <c r="L445" s="349">
        <f t="shared" si="185"/>
        <v>1.4429027255332014</v>
      </c>
      <c r="M445" s="337">
        <f t="shared" si="169"/>
        <v>1.001055240909551</v>
      </c>
      <c r="N445" s="340">
        <f t="shared" si="170"/>
        <v>4.5919795293343307E-2</v>
      </c>
      <c r="O445" s="341">
        <f t="shared" si="171"/>
        <v>1.0004267680769263</v>
      </c>
      <c r="P445" s="342">
        <f t="shared" si="172"/>
        <v>6.9442260489656571E-2</v>
      </c>
      <c r="Q445" s="343">
        <f t="shared" si="173"/>
        <v>-2.2378087070411175</v>
      </c>
      <c r="R445" s="344">
        <f t="shared" si="174"/>
        <v>-50.731423065637202</v>
      </c>
      <c r="S445" s="346">
        <f t="shared" si="175"/>
        <v>129.26857693436278</v>
      </c>
      <c r="U445" s="319">
        <f t="shared" si="181"/>
        <v>46774</v>
      </c>
      <c r="V445" s="319">
        <f t="shared" si="182"/>
        <v>2187807076</v>
      </c>
      <c r="X445" s="345">
        <f t="shared" si="176"/>
        <v>4.9918423080176746</v>
      </c>
      <c r="Y445" s="346">
        <f t="shared" si="177"/>
        <v>-9.9586048274228727</v>
      </c>
      <c r="AA445" s="345">
        <f t="shared" si="178"/>
        <v>30.988315998287469</v>
      </c>
      <c r="AB445" s="346">
        <f t="shared" si="179"/>
        <v>-40.772818238214327</v>
      </c>
      <c r="AD445">
        <f t="shared" si="183"/>
        <v>0</v>
      </c>
      <c r="AE445">
        <f t="shared" si="186"/>
        <v>0</v>
      </c>
    </row>
    <row r="446" spans="1:31" x14ac:dyDescent="0.2">
      <c r="A446" s="347">
        <v>47046.25</v>
      </c>
      <c r="B446" s="364">
        <f t="shared" si="180"/>
        <v>47.046250000000001</v>
      </c>
      <c r="C446" s="337">
        <f t="shared" si="161"/>
        <v>1.2539889447169097</v>
      </c>
      <c r="D446" s="338">
        <f t="shared" si="162"/>
        <v>0.64773053564215621</v>
      </c>
      <c r="E446" s="338">
        <f t="shared" si="163"/>
        <v>1.0000038604206769</v>
      </c>
      <c r="F446" s="339">
        <f t="shared" si="164"/>
        <v>2.7786357292148801E-3</v>
      </c>
      <c r="G446" s="338">
        <f t="shared" si="165"/>
        <v>1</v>
      </c>
      <c r="H446" s="339">
        <f t="shared" si="166"/>
        <v>0</v>
      </c>
      <c r="I446" s="337">
        <f t="shared" si="167"/>
        <v>340539.37458156014</v>
      </c>
      <c r="J446" s="340">
        <f t="shared" si="168"/>
        <v>1.570793390276906</v>
      </c>
      <c r="K446" s="348">
        <f t="shared" si="184"/>
        <v>7.8852506590841083</v>
      </c>
      <c r="L446" s="349">
        <f t="shared" si="185"/>
        <v>1.4436348524248479</v>
      </c>
      <c r="M446" s="337">
        <f t="shared" si="169"/>
        <v>1.0010675542372827</v>
      </c>
      <c r="N446" s="340">
        <f t="shared" si="170"/>
        <v>4.6186694511579467E-2</v>
      </c>
      <c r="O446" s="341">
        <f t="shared" si="171"/>
        <v>1.0004317727481473</v>
      </c>
      <c r="P446" s="342">
        <f t="shared" si="172"/>
        <v>6.9846758724310815E-2</v>
      </c>
      <c r="Q446" s="343">
        <f t="shared" si="173"/>
        <v>-2.2570588746059621</v>
      </c>
      <c r="R446" s="344">
        <f t="shared" si="174"/>
        <v>-50.886896612824756</v>
      </c>
      <c r="S446" s="346">
        <f t="shared" si="175"/>
        <v>129.11310338717524</v>
      </c>
      <c r="U446" s="319">
        <f t="shared" si="181"/>
        <v>47046.25</v>
      </c>
      <c r="V446" s="319">
        <f t="shared" si="182"/>
        <v>2213349639.0625</v>
      </c>
      <c r="X446" s="345">
        <f t="shared" si="176"/>
        <v>4.990920074320135</v>
      </c>
      <c r="Y446" s="346">
        <f t="shared" si="177"/>
        <v>-9.9319502244999054</v>
      </c>
      <c r="AA446" s="345">
        <f t="shared" si="178"/>
        <v>30.969988064420164</v>
      </c>
      <c r="AB446" s="346">
        <f t="shared" si="179"/>
        <v>-40.954946388324842</v>
      </c>
      <c r="AD446">
        <f t="shared" si="183"/>
        <v>0</v>
      </c>
      <c r="AE446">
        <f t="shared" si="186"/>
        <v>0</v>
      </c>
    </row>
    <row r="447" spans="1:31" x14ac:dyDescent="0.2">
      <c r="A447" s="347">
        <v>47318.5</v>
      </c>
      <c r="B447" s="364">
        <f t="shared" si="180"/>
        <v>47.3185</v>
      </c>
      <c r="C447" s="337">
        <f t="shared" si="161"/>
        <v>1.2566356919456487</v>
      </c>
      <c r="D447" s="338">
        <f t="shared" si="162"/>
        <v>0.65050912030629704</v>
      </c>
      <c r="E447" s="338">
        <f t="shared" si="163"/>
        <v>1.000003905229284</v>
      </c>
      <c r="F447" s="339">
        <f t="shared" si="164"/>
        <v>2.7947152180081447E-3</v>
      </c>
      <c r="G447" s="338">
        <f t="shared" si="165"/>
        <v>1</v>
      </c>
      <c r="H447" s="339">
        <f t="shared" si="166"/>
        <v>0</v>
      </c>
      <c r="I447" s="337">
        <f t="shared" si="167"/>
        <v>342510.0278159632</v>
      </c>
      <c r="J447" s="340">
        <f t="shared" si="168"/>
        <v>1.5707934071723491</v>
      </c>
      <c r="K447" s="348">
        <f t="shared" si="184"/>
        <v>7.9301496838147889</v>
      </c>
      <c r="L447" s="349">
        <f t="shared" si="185"/>
        <v>1.4443586893696905</v>
      </c>
      <c r="M447" s="337">
        <f t="shared" si="169"/>
        <v>1.0010799388744971</v>
      </c>
      <c r="N447" s="340">
        <f t="shared" si="170"/>
        <v>4.645358714505906E-2</v>
      </c>
      <c r="O447" s="341">
        <f t="shared" si="171"/>
        <v>1.0004368069806753</v>
      </c>
      <c r="P447" s="342">
        <f t="shared" si="172"/>
        <v>7.02512622797552E-2</v>
      </c>
      <c r="Q447" s="343">
        <f t="shared" si="173"/>
        <v>-2.2763248196345067</v>
      </c>
      <c r="R447" s="344">
        <f t="shared" si="174"/>
        <v>-51.042172834481597</v>
      </c>
      <c r="S447" s="346">
        <f t="shared" si="175"/>
        <v>128.95782716551841</v>
      </c>
      <c r="U447" s="319">
        <f t="shared" si="181"/>
        <v>47318.5</v>
      </c>
      <c r="V447" s="319">
        <f t="shared" si="182"/>
        <v>2239040442.25</v>
      </c>
      <c r="X447" s="345">
        <f t="shared" si="176"/>
        <v>4.9900111077801315</v>
      </c>
      <c r="Y447" s="346">
        <f t="shared" si="177"/>
        <v>-9.9057702119939641</v>
      </c>
      <c r="AA447" s="345">
        <f t="shared" si="178"/>
        <v>30.951631085931623</v>
      </c>
      <c r="AB447" s="346">
        <f t="shared" si="179"/>
        <v>-41.136402622487651</v>
      </c>
      <c r="AD447">
        <f t="shared" si="183"/>
        <v>0</v>
      </c>
      <c r="AE447">
        <f t="shared" si="186"/>
        <v>0</v>
      </c>
    </row>
    <row r="448" spans="1:31" x14ac:dyDescent="0.2">
      <c r="A448" s="347">
        <v>47590.75</v>
      </c>
      <c r="B448" s="364">
        <f t="shared" si="180"/>
        <v>47.59075</v>
      </c>
      <c r="C448" s="337">
        <f t="shared" si="161"/>
        <v>1.2592921002454092</v>
      </c>
      <c r="D448" s="338">
        <f t="shared" si="162"/>
        <v>0.65327600371041838</v>
      </c>
      <c r="E448" s="338">
        <f t="shared" si="163"/>
        <v>1.000003950296442</v>
      </c>
      <c r="F448" s="339">
        <f t="shared" si="164"/>
        <v>2.8107947053562575E-3</v>
      </c>
      <c r="G448" s="338">
        <f t="shared" si="165"/>
        <v>1</v>
      </c>
      <c r="H448" s="339">
        <f t="shared" si="166"/>
        <v>0</v>
      </c>
      <c r="I448" s="337">
        <f t="shared" si="167"/>
        <v>344480.68105036631</v>
      </c>
      <c r="J448" s="340">
        <f t="shared" si="168"/>
        <v>1.5707934238744863</v>
      </c>
      <c r="K448" s="348">
        <f t="shared" si="184"/>
        <v>7.9750528166823429</v>
      </c>
      <c r="L448" s="349">
        <f t="shared" si="185"/>
        <v>1.4450743756311393</v>
      </c>
      <c r="M448" s="337">
        <f t="shared" si="169"/>
        <v>1.0010923948185479</v>
      </c>
      <c r="N448" s="340">
        <f t="shared" si="170"/>
        <v>4.6720473156004777E-2</v>
      </c>
      <c r="O448" s="341">
        <f t="shared" si="171"/>
        <v>1.0004418707834586</v>
      </c>
      <c r="P448" s="342">
        <f t="shared" si="172"/>
        <v>7.0655771186232494E-2</v>
      </c>
      <c r="Q448" s="343">
        <f t="shared" si="173"/>
        <v>-2.2956061692722503</v>
      </c>
      <c r="R448" s="344">
        <f t="shared" si="174"/>
        <v>-51.197245539238295</v>
      </c>
      <c r="S448" s="346">
        <f t="shared" si="175"/>
        <v>128.80275446076172</v>
      </c>
      <c r="U448" s="319">
        <f t="shared" si="181"/>
        <v>47590.75</v>
      </c>
      <c r="V448" s="319">
        <f t="shared" si="182"/>
        <v>2264879485.5625</v>
      </c>
      <c r="X448" s="345">
        <f t="shared" si="176"/>
        <v>4.9891150958046975</v>
      </c>
      <c r="Y448" s="346">
        <f t="shared" si="177"/>
        <v>-9.8800568087283054</v>
      </c>
      <c r="AA448" s="345">
        <f t="shared" si="178"/>
        <v>30.933245748269314</v>
      </c>
      <c r="AB448" s="346">
        <f t="shared" si="179"/>
        <v>-41.31718873050999</v>
      </c>
      <c r="AD448">
        <f t="shared" si="183"/>
        <v>0</v>
      </c>
      <c r="AE448">
        <f t="shared" si="186"/>
        <v>0</v>
      </c>
    </row>
    <row r="449" spans="1:31" x14ac:dyDescent="0.2">
      <c r="A449" s="347">
        <v>47863</v>
      </c>
      <c r="B449" s="364">
        <f t="shared" si="180"/>
        <v>47.863</v>
      </c>
      <c r="C449" s="337">
        <f t="shared" si="161"/>
        <v>1.2619581086068399</v>
      </c>
      <c r="D449" s="338">
        <f t="shared" si="162"/>
        <v>0.65603121751665683</v>
      </c>
      <c r="E449" s="338">
        <f t="shared" si="163"/>
        <v>1.0000039956221507</v>
      </c>
      <c r="F449" s="339">
        <f t="shared" si="164"/>
        <v>2.8268741912509062E-3</v>
      </c>
      <c r="G449" s="338">
        <f t="shared" si="165"/>
        <v>1</v>
      </c>
      <c r="H449" s="339">
        <f t="shared" si="166"/>
        <v>0</v>
      </c>
      <c r="I449" s="337">
        <f t="shared" si="167"/>
        <v>346451.33428476949</v>
      </c>
      <c r="J449" s="340">
        <f t="shared" si="168"/>
        <v>1.5707934403866164</v>
      </c>
      <c r="K449" s="348">
        <f t="shared" si="184"/>
        <v>8.0199599886833539</v>
      </c>
      <c r="L449" s="349">
        <f t="shared" si="185"/>
        <v>1.4457820473872522</v>
      </c>
      <c r="M449" s="337">
        <f t="shared" si="169"/>
        <v>1.0011049220667736</v>
      </c>
      <c r="N449" s="340">
        <f t="shared" si="170"/>
        <v>4.698735250664493E-2</v>
      </c>
      <c r="O449" s="341">
        <f t="shared" si="171"/>
        <v>1.0004469641654983</v>
      </c>
      <c r="P449" s="342">
        <f t="shared" si="172"/>
        <v>7.106028547397597E-2</v>
      </c>
      <c r="Q449" s="343">
        <f t="shared" si="173"/>
        <v>-2.3149025485269354</v>
      </c>
      <c r="R449" s="344">
        <f t="shared" si="174"/>
        <v>-51.3521087385312</v>
      </c>
      <c r="S449" s="346">
        <f t="shared" si="175"/>
        <v>128.6478912614688</v>
      </c>
      <c r="U449" s="319">
        <f t="shared" si="181"/>
        <v>47863</v>
      </c>
      <c r="V449" s="319">
        <f t="shared" si="182"/>
        <v>2290866769</v>
      </c>
      <c r="X449" s="345">
        <f t="shared" si="176"/>
        <v>4.9882317345288882</v>
      </c>
      <c r="Y449" s="346">
        <f t="shared" si="177"/>
        <v>-9.8548022102998036</v>
      </c>
      <c r="AA449" s="345">
        <f t="shared" si="178"/>
        <v>30.914832730290442</v>
      </c>
      <c r="AB449" s="346">
        <f t="shared" si="179"/>
        <v>-41.497306528231384</v>
      </c>
      <c r="AD449">
        <f t="shared" si="183"/>
        <v>0</v>
      </c>
      <c r="AE449">
        <f t="shared" si="186"/>
        <v>0</v>
      </c>
    </row>
    <row r="450" spans="1:31" x14ac:dyDescent="0.2">
      <c r="A450" s="347">
        <v>48141.75</v>
      </c>
      <c r="B450" s="364">
        <f t="shared" si="180"/>
        <v>48.141750000000002</v>
      </c>
      <c r="C450" s="337">
        <f t="shared" si="161"/>
        <v>1.264697651420684</v>
      </c>
      <c r="D450" s="338">
        <f t="shared" si="162"/>
        <v>0.65884015505607685</v>
      </c>
      <c r="E450" s="338">
        <f t="shared" si="163"/>
        <v>1.0000040422979</v>
      </c>
      <c r="F450" s="339">
        <f t="shared" si="164"/>
        <v>2.843337575202345E-3</v>
      </c>
      <c r="G450" s="338">
        <f t="shared" si="165"/>
        <v>1</v>
      </c>
      <c r="H450" s="339">
        <f t="shared" si="166"/>
        <v>0</v>
      </c>
      <c r="I450" s="337">
        <f t="shared" si="167"/>
        <v>348469.03709134407</v>
      </c>
      <c r="J450" s="340">
        <f t="shared" si="168"/>
        <v>1.5707934570994759</v>
      </c>
      <c r="K450" s="348">
        <f t="shared" si="184"/>
        <v>8.0659434390520612</v>
      </c>
      <c r="L450" s="349">
        <f t="shared" si="185"/>
        <v>1.4464984501418134</v>
      </c>
      <c r="M450" s="337">
        <f t="shared" si="169"/>
        <v>1.0011178222797834</v>
      </c>
      <c r="N450" s="340">
        <f t="shared" si="170"/>
        <v>4.7260596692247345E-2</v>
      </c>
      <c r="O450" s="341">
        <f t="shared" si="171"/>
        <v>1.0004522098090713</v>
      </c>
      <c r="P450" s="342">
        <f t="shared" si="172"/>
        <v>7.1474463193852561E-2</v>
      </c>
      <c r="Q450" s="343">
        <f t="shared" si="173"/>
        <v>-2.3346748096287988</v>
      </c>
      <c r="R450" s="344">
        <f t="shared" si="174"/>
        <v>-51.510446199457</v>
      </c>
      <c r="S450" s="346">
        <f t="shared" si="175"/>
        <v>128.48955380054301</v>
      </c>
      <c r="U450" s="319">
        <f t="shared" si="181"/>
        <v>48141.75</v>
      </c>
      <c r="V450" s="319">
        <f t="shared" si="182"/>
        <v>2317628093.0625</v>
      </c>
      <c r="X450" s="345">
        <f t="shared" si="176"/>
        <v>4.9873400817858311</v>
      </c>
      <c r="Y450" s="346">
        <f t="shared" si="177"/>
        <v>-9.82941205219071</v>
      </c>
      <c r="AA450" s="345">
        <f t="shared" si="178"/>
        <v>30.895952121931632</v>
      </c>
      <c r="AB450" s="346">
        <f t="shared" si="179"/>
        <v>-41.681034147266303</v>
      </c>
      <c r="AD450">
        <f t="shared" si="183"/>
        <v>0</v>
      </c>
      <c r="AE450">
        <f t="shared" si="186"/>
        <v>0</v>
      </c>
    </row>
    <row r="451" spans="1:31" x14ac:dyDescent="0.2">
      <c r="A451" s="347">
        <v>48420.5</v>
      </c>
      <c r="B451" s="364">
        <f t="shared" si="180"/>
        <v>48.420499999999997</v>
      </c>
      <c r="C451" s="337">
        <f t="shared" si="161"/>
        <v>1.267447129680805</v>
      </c>
      <c r="D451" s="338">
        <f t="shared" si="162"/>
        <v>0.66163692770334792</v>
      </c>
      <c r="E451" s="338">
        <f t="shared" si="163"/>
        <v>1.0000040892446935</v>
      </c>
      <c r="F451" s="339">
        <f t="shared" si="164"/>
        <v>2.859800957612446E-3</v>
      </c>
      <c r="G451" s="338">
        <f t="shared" si="165"/>
        <v>1</v>
      </c>
      <c r="H451" s="339">
        <f t="shared" si="166"/>
        <v>0</v>
      </c>
      <c r="I451" s="337">
        <f t="shared" si="167"/>
        <v>350486.73989791865</v>
      </c>
      <c r="J451" s="340">
        <f t="shared" si="168"/>
        <v>1.5707934736199083</v>
      </c>
      <c r="K451" s="348">
        <f t="shared" si="184"/>
        <v>8.1119309821942789</v>
      </c>
      <c r="L451" s="349">
        <f t="shared" si="185"/>
        <v>1.4472067305042688</v>
      </c>
      <c r="M451" s="337">
        <f t="shared" si="169"/>
        <v>1.0011307972367076</v>
      </c>
      <c r="N451" s="340">
        <f t="shared" si="170"/>
        <v>4.7533833815595825E-2</v>
      </c>
      <c r="O451" s="341">
        <f t="shared" si="171"/>
        <v>1.0004574864804392</v>
      </c>
      <c r="P451" s="342">
        <f t="shared" si="172"/>
        <v>7.1888646619133814E-2</v>
      </c>
      <c r="Q451" s="343">
        <f t="shared" si="173"/>
        <v>-2.3544620252898092</v>
      </c>
      <c r="R451" s="344">
        <f t="shared" si="174"/>
        <v>-51.668551953512747</v>
      </c>
      <c r="S451" s="346">
        <f t="shared" si="175"/>
        <v>128.33144804648725</v>
      </c>
      <c r="U451" s="319">
        <f t="shared" si="181"/>
        <v>48420.5</v>
      </c>
      <c r="V451" s="319">
        <f t="shared" si="182"/>
        <v>2344544820.25</v>
      </c>
      <c r="X451" s="345">
        <f t="shared" si="176"/>
        <v>4.9864610731222321</v>
      </c>
      <c r="Y451" s="346">
        <f t="shared" si="177"/>
        <v>-9.8044868572067507</v>
      </c>
      <c r="AA451" s="345">
        <f t="shared" si="178"/>
        <v>30.877043914934216</v>
      </c>
      <c r="AB451" s="346">
        <f t="shared" si="179"/>
        <v>-41.864065096306</v>
      </c>
      <c r="AD451">
        <f t="shared" si="183"/>
        <v>0</v>
      </c>
      <c r="AE451">
        <f t="shared" si="186"/>
        <v>0</v>
      </c>
    </row>
    <row r="452" spans="1:31" x14ac:dyDescent="0.2">
      <c r="A452" s="347">
        <v>48699.25</v>
      </c>
      <c r="B452" s="364">
        <f t="shared" si="180"/>
        <v>48.699249999999999</v>
      </c>
      <c r="C452" s="337">
        <f t="shared" si="161"/>
        <v>1.2702064788686538</v>
      </c>
      <c r="D452" s="338">
        <f t="shared" si="162"/>
        <v>0.66442157084404563</v>
      </c>
      <c r="E452" s="338">
        <f t="shared" si="163"/>
        <v>1.0000041364625309</v>
      </c>
      <c r="F452" s="339">
        <f t="shared" si="164"/>
        <v>2.8762643384722853E-3</v>
      </c>
      <c r="G452" s="338">
        <f t="shared" si="165"/>
        <v>1</v>
      </c>
      <c r="H452" s="339">
        <f t="shared" si="166"/>
        <v>0</v>
      </c>
      <c r="I452" s="337">
        <f t="shared" si="167"/>
        <v>352504.44270449335</v>
      </c>
      <c r="J452" s="340">
        <f t="shared" si="168"/>
        <v>1.5707934899512179</v>
      </c>
      <c r="K452" s="348">
        <f t="shared" si="184"/>
        <v>8.1579225488951064</v>
      </c>
      <c r="L452" s="349">
        <f t="shared" si="185"/>
        <v>1.4479070251316823</v>
      </c>
      <c r="M452" s="337">
        <f t="shared" si="169"/>
        <v>1.0011438469346405</v>
      </c>
      <c r="N452" s="340">
        <f t="shared" si="170"/>
        <v>4.7807063836166785E-2</v>
      </c>
      <c r="O452" s="341">
        <f t="shared" si="171"/>
        <v>1.0004627941894297</v>
      </c>
      <c r="P452" s="342">
        <f t="shared" si="172"/>
        <v>7.2302835782239339E-2</v>
      </c>
      <c r="Q452" s="343">
        <f t="shared" si="173"/>
        <v>-2.3742637878176049</v>
      </c>
      <c r="R452" s="344">
        <f t="shared" si="174"/>
        <v>-51.826420197995027</v>
      </c>
      <c r="S452" s="346">
        <f t="shared" si="175"/>
        <v>128.17357980200498</v>
      </c>
      <c r="U452" s="319">
        <f t="shared" si="181"/>
        <v>48699.25</v>
      </c>
      <c r="V452" s="319">
        <f t="shared" si="182"/>
        <v>2371616950.5625</v>
      </c>
      <c r="X452" s="345">
        <f t="shared" si="176"/>
        <v>4.9855944089657136</v>
      </c>
      <c r="Y452" s="346">
        <f t="shared" si="177"/>
        <v>-9.7800187933424194</v>
      </c>
      <c r="AA452" s="345">
        <f t="shared" si="178"/>
        <v>30.85810881656294</v>
      </c>
      <c r="AB452" s="346">
        <f t="shared" si="179"/>
        <v>-42.046401404652599</v>
      </c>
      <c r="AD452">
        <f t="shared" si="183"/>
        <v>0</v>
      </c>
      <c r="AE452">
        <f t="shared" si="186"/>
        <v>0</v>
      </c>
    </row>
    <row r="453" spans="1:31" x14ac:dyDescent="0.2">
      <c r="A453" s="347">
        <v>48978</v>
      </c>
      <c r="B453" s="364">
        <f t="shared" si="180"/>
        <v>48.978000000000002</v>
      </c>
      <c r="C453" s="337">
        <f t="shared" si="161"/>
        <v>1.272975634794465</v>
      </c>
      <c r="D453" s="338">
        <f t="shared" si="162"/>
        <v>0.66719412030992697</v>
      </c>
      <c r="E453" s="338">
        <f t="shared" si="163"/>
        <v>1.0000041839514124</v>
      </c>
      <c r="F453" s="339">
        <f t="shared" si="164"/>
        <v>2.8927277177729382E-3</v>
      </c>
      <c r="G453" s="338">
        <f t="shared" si="165"/>
        <v>1</v>
      </c>
      <c r="H453" s="339">
        <f t="shared" si="166"/>
        <v>0</v>
      </c>
      <c r="I453" s="337">
        <f t="shared" si="167"/>
        <v>354522.14551106817</v>
      </c>
      <c r="J453" s="340">
        <f t="shared" si="168"/>
        <v>1.5707935060966338</v>
      </c>
      <c r="K453" s="348">
        <f t="shared" si="184"/>
        <v>8.2039180714857487</v>
      </c>
      <c r="L453" s="349">
        <f t="shared" si="185"/>
        <v>1.4485994676481635</v>
      </c>
      <c r="M453" s="337">
        <f t="shared" si="169"/>
        <v>1.0011569713706594</v>
      </c>
      <c r="N453" s="340">
        <f t="shared" si="170"/>
        <v>4.8080286713443006E-2</v>
      </c>
      <c r="O453" s="341">
        <f t="shared" si="171"/>
        <v>1.000468132945928</v>
      </c>
      <c r="P453" s="342">
        <f t="shared" si="172"/>
        <v>7.2717030715578085E-2</v>
      </c>
      <c r="Q453" s="343">
        <f t="shared" si="173"/>
        <v>-2.394079688322635</v>
      </c>
      <c r="R453" s="344">
        <f t="shared" si="174"/>
        <v>-51.984045329535675</v>
      </c>
      <c r="S453" s="346">
        <f t="shared" si="175"/>
        <v>128.01595467046434</v>
      </c>
      <c r="U453" s="319">
        <f t="shared" si="181"/>
        <v>48978</v>
      </c>
      <c r="V453" s="319">
        <f t="shared" si="182"/>
        <v>2398844484</v>
      </c>
      <c r="X453" s="345">
        <f t="shared" si="176"/>
        <v>4.9847397981191746</v>
      </c>
      <c r="Y453" s="346">
        <f t="shared" si="177"/>
        <v>-9.7560002023637331</v>
      </c>
      <c r="AA453" s="345">
        <f t="shared" si="178"/>
        <v>30.839147526904451</v>
      </c>
      <c r="AB453" s="346">
        <f t="shared" si="179"/>
        <v>-42.228045127171967</v>
      </c>
      <c r="AD453">
        <f t="shared" si="183"/>
        <v>0</v>
      </c>
      <c r="AE453">
        <f t="shared" si="186"/>
        <v>0</v>
      </c>
    </row>
    <row r="454" spans="1:31" x14ac:dyDescent="0.2">
      <c r="A454" s="347">
        <v>49263.25</v>
      </c>
      <c r="B454" s="364">
        <f t="shared" si="180"/>
        <v>49.263249999999999</v>
      </c>
      <c r="C454" s="337">
        <f t="shared" si="161"/>
        <v>1.2758194487637302</v>
      </c>
      <c r="D454" s="338">
        <f t="shared" si="162"/>
        <v>0.67001883902088932</v>
      </c>
      <c r="E454" s="338">
        <f t="shared" si="163"/>
        <v>1.0000042328282561</v>
      </c>
      <c r="F454" s="339">
        <f t="shared" si="164"/>
        <v>2.9095749948777729E-3</v>
      </c>
      <c r="G454" s="338">
        <f t="shared" si="165"/>
        <v>1</v>
      </c>
      <c r="H454" s="339">
        <f t="shared" si="166"/>
        <v>0</v>
      </c>
      <c r="I454" s="337">
        <f t="shared" si="167"/>
        <v>356586.8978898144</v>
      </c>
      <c r="J454" s="340">
        <f t="shared" si="168"/>
        <v>1.5707935224293803</v>
      </c>
      <c r="K454" s="348">
        <f t="shared" si="184"/>
        <v>8.2509901617218553</v>
      </c>
      <c r="L454" s="349">
        <f t="shared" si="185"/>
        <v>1.4493000642273111</v>
      </c>
      <c r="M454" s="337">
        <f t="shared" si="169"/>
        <v>1.0011704792168348</v>
      </c>
      <c r="N454" s="340">
        <f t="shared" si="170"/>
        <v>4.8359873269783263E-2</v>
      </c>
      <c r="O454" s="341">
        <f t="shared" si="171"/>
        <v>1.0004736283458964</v>
      </c>
      <c r="P454" s="342">
        <f t="shared" si="172"/>
        <v>7.3140890013538434E-2</v>
      </c>
      <c r="Q454" s="343">
        <f t="shared" si="173"/>
        <v>-2.4143718723944998</v>
      </c>
      <c r="R454" s="344">
        <f t="shared" si="174"/>
        <v>-52.145088699533481</v>
      </c>
      <c r="S454" s="346">
        <f t="shared" si="175"/>
        <v>127.85491130046651</v>
      </c>
      <c r="U454" s="319">
        <f t="shared" si="181"/>
        <v>49263.25</v>
      </c>
      <c r="V454" s="319">
        <f t="shared" si="182"/>
        <v>2426867800.5625</v>
      </c>
      <c r="X454" s="345">
        <f t="shared" si="176"/>
        <v>4.9838774420001135</v>
      </c>
      <c r="Y454" s="346">
        <f t="shared" si="177"/>
        <v>-9.7318790406940359</v>
      </c>
      <c r="AA454" s="345">
        <f t="shared" si="178"/>
        <v>30.819717698951649</v>
      </c>
      <c r="AB454" s="346">
        <f t="shared" si="179"/>
        <v>-42.413209658839435</v>
      </c>
      <c r="AD454">
        <f t="shared" si="183"/>
        <v>0</v>
      </c>
      <c r="AE454">
        <f t="shared" si="186"/>
        <v>0</v>
      </c>
    </row>
    <row r="455" spans="1:31" x14ac:dyDescent="0.2">
      <c r="A455" s="347">
        <v>49548.5</v>
      </c>
      <c r="B455" s="364">
        <f t="shared" si="180"/>
        <v>49.548499999999997</v>
      </c>
      <c r="C455" s="337">
        <f t="shared" si="161"/>
        <v>1.2786733972142901</v>
      </c>
      <c r="D455" s="338">
        <f t="shared" si="162"/>
        <v>0.67283097076580256</v>
      </c>
      <c r="E455" s="338">
        <f t="shared" si="163"/>
        <v>1.0000042819889317</v>
      </c>
      <c r="F455" s="339">
        <f t="shared" si="164"/>
        <v>2.9264222703309487E-3</v>
      </c>
      <c r="G455" s="338">
        <f t="shared" si="165"/>
        <v>1</v>
      </c>
      <c r="H455" s="339">
        <f t="shared" si="166"/>
        <v>0</v>
      </c>
      <c r="I455" s="337">
        <f t="shared" si="167"/>
        <v>358651.65026856068</v>
      </c>
      <c r="J455" s="340">
        <f t="shared" si="168"/>
        <v>1.5707935385740721</v>
      </c>
      <c r="K455" s="348">
        <f t="shared" si="184"/>
        <v>8.2980662558890828</v>
      </c>
      <c r="L455" s="349">
        <f t="shared" si="185"/>
        <v>1.44999271197784</v>
      </c>
      <c r="M455" s="337">
        <f t="shared" si="169"/>
        <v>1.001184065321032</v>
      </c>
      <c r="N455" s="340">
        <f t="shared" si="170"/>
        <v>4.8639452259977851E-2</v>
      </c>
      <c r="O455" s="341">
        <f t="shared" si="171"/>
        <v>1.0004791562793345</v>
      </c>
      <c r="P455" s="342">
        <f t="shared" si="172"/>
        <v>7.3564755422607528E-2</v>
      </c>
      <c r="Q455" s="343">
        <f t="shared" si="173"/>
        <v>-2.4346779923962796</v>
      </c>
      <c r="R455" s="344">
        <f t="shared" si="174"/>
        <v>-52.305866229783817</v>
      </c>
      <c r="S455" s="346">
        <f t="shared" si="175"/>
        <v>127.69413377021618</v>
      </c>
      <c r="U455" s="319">
        <f t="shared" si="181"/>
        <v>49548.5</v>
      </c>
      <c r="V455" s="319">
        <f t="shared" si="182"/>
        <v>2455053852.25</v>
      </c>
      <c r="X455" s="345">
        <f t="shared" si="176"/>
        <v>4.9830271165608284</v>
      </c>
      <c r="Y455" s="346">
        <f t="shared" si="177"/>
        <v>-9.7082128690738383</v>
      </c>
      <c r="AA455" s="345">
        <f t="shared" si="178"/>
        <v>30.800261904389153</v>
      </c>
      <c r="AB455" s="346">
        <f t="shared" si="179"/>
        <v>-42.59765336070997</v>
      </c>
      <c r="AD455">
        <f t="shared" si="183"/>
        <v>0</v>
      </c>
      <c r="AE455">
        <f t="shared" si="186"/>
        <v>0</v>
      </c>
    </row>
    <row r="456" spans="1:31" x14ac:dyDescent="0.2">
      <c r="A456" s="347">
        <v>49833.75</v>
      </c>
      <c r="B456" s="364">
        <f t="shared" si="180"/>
        <v>49.833750000000002</v>
      </c>
      <c r="C456" s="337">
        <f t="shared" si="161"/>
        <v>1.2815374124385162</v>
      </c>
      <c r="D456" s="338">
        <f t="shared" si="162"/>
        <v>0.67563055530833738</v>
      </c>
      <c r="E456" s="338">
        <f t="shared" si="163"/>
        <v>1.000004331433439</v>
      </c>
      <c r="F456" s="339">
        <f t="shared" si="164"/>
        <v>2.9432695441229035E-3</v>
      </c>
      <c r="G456" s="338">
        <f t="shared" si="165"/>
        <v>1</v>
      </c>
      <c r="H456" s="339">
        <f t="shared" si="166"/>
        <v>0</v>
      </c>
      <c r="I456" s="337">
        <f t="shared" si="167"/>
        <v>360716.40264730697</v>
      </c>
      <c r="J456" s="340">
        <f t="shared" si="168"/>
        <v>1.5707935545339384</v>
      </c>
      <c r="K456" s="348">
        <f t="shared" si="184"/>
        <v>8.3451462862272852</v>
      </c>
      <c r="L456" s="349">
        <f t="shared" si="185"/>
        <v>1.4506775447619378</v>
      </c>
      <c r="M456" s="337">
        <f t="shared" si="169"/>
        <v>1.0011977296800656</v>
      </c>
      <c r="N456" s="340">
        <f t="shared" si="170"/>
        <v>4.891902364062943E-2</v>
      </c>
      <c r="O456" s="341">
        <f t="shared" si="171"/>
        <v>1.0004847167570186</v>
      </c>
      <c r="P456" s="342">
        <f t="shared" si="172"/>
        <v>7.3988626977479641E-2</v>
      </c>
      <c r="Q456" s="343">
        <f t="shared" si="173"/>
        <v>-2.454997607915546</v>
      </c>
      <c r="R456" s="344">
        <f t="shared" si="174"/>
        <v>-52.466372528525739</v>
      </c>
      <c r="S456" s="346">
        <f t="shared" si="175"/>
        <v>127.53362747147426</v>
      </c>
      <c r="U456" s="319">
        <f t="shared" si="181"/>
        <v>49833.75</v>
      </c>
      <c r="V456" s="319">
        <f t="shared" si="182"/>
        <v>2483402639.0625</v>
      </c>
      <c r="X456" s="345">
        <f t="shared" si="176"/>
        <v>4.9821885352106783</v>
      </c>
      <c r="Y456" s="346">
        <f t="shared" si="177"/>
        <v>-9.684994015463273</v>
      </c>
      <c r="AA456" s="345">
        <f t="shared" si="178"/>
        <v>30.780780870220038</v>
      </c>
      <c r="AB456" s="346">
        <f t="shared" si="179"/>
        <v>-42.78137851306245</v>
      </c>
      <c r="AD456">
        <f t="shared" si="183"/>
        <v>0</v>
      </c>
      <c r="AE456">
        <f t="shared" si="186"/>
        <v>0</v>
      </c>
    </row>
    <row r="457" spans="1:31" x14ac:dyDescent="0.2">
      <c r="A457" s="347">
        <v>50119</v>
      </c>
      <c r="B457" s="364">
        <f t="shared" si="180"/>
        <v>50.119</v>
      </c>
      <c r="C457" s="337">
        <f t="shared" si="161"/>
        <v>1.2844114270949201</v>
      </c>
      <c r="D457" s="338">
        <f t="shared" si="162"/>
        <v>0.67841763284485579</v>
      </c>
      <c r="E457" s="338">
        <f t="shared" si="163"/>
        <v>1.0000043811617783</v>
      </c>
      <c r="F457" s="339">
        <f t="shared" si="164"/>
        <v>2.9601168162440728E-3</v>
      </c>
      <c r="G457" s="338">
        <f t="shared" si="165"/>
        <v>1</v>
      </c>
      <c r="H457" s="339">
        <f t="shared" si="166"/>
        <v>0</v>
      </c>
      <c r="I457" s="337">
        <f t="shared" si="167"/>
        <v>362781.15502605349</v>
      </c>
      <c r="J457" s="340">
        <f t="shared" si="168"/>
        <v>1.5707935703121352</v>
      </c>
      <c r="K457" s="348">
        <f t="shared" si="184"/>
        <v>8.3922301864912416</v>
      </c>
      <c r="L457" s="349">
        <f t="shared" si="185"/>
        <v>1.4513546934674013</v>
      </c>
      <c r="M457" s="337">
        <f t="shared" si="169"/>
        <v>1.001211472290731</v>
      </c>
      <c r="N457" s="340">
        <f t="shared" si="170"/>
        <v>4.919858736834775E-2</v>
      </c>
      <c r="O457" s="341">
        <f t="shared" si="171"/>
        <v>1.0004903097897864</v>
      </c>
      <c r="P457" s="342">
        <f t="shared" si="172"/>
        <v>7.4412504712837113E-2</v>
      </c>
      <c r="Q457" s="343">
        <f t="shared" si="173"/>
        <v>-2.4753302782963829</v>
      </c>
      <c r="R457" s="344">
        <f t="shared" si="174"/>
        <v>-52.626602399205218</v>
      </c>
      <c r="S457" s="346">
        <f t="shared" si="175"/>
        <v>127.37339760079479</v>
      </c>
      <c r="U457" s="319">
        <f t="shared" si="181"/>
        <v>50119</v>
      </c>
      <c r="V457" s="319">
        <f t="shared" si="182"/>
        <v>2511914161</v>
      </c>
      <c r="X457" s="345">
        <f t="shared" si="176"/>
        <v>4.9813614193771452</v>
      </c>
      <c r="Y457" s="346">
        <f t="shared" si="177"/>
        <v>-9.6622149782387279</v>
      </c>
      <c r="AA457" s="345">
        <f t="shared" si="178"/>
        <v>30.761275315672734</v>
      </c>
      <c r="AB457" s="346">
        <f t="shared" si="179"/>
        <v>-42.964387420966489</v>
      </c>
      <c r="AD457">
        <f t="shared" si="183"/>
        <v>0</v>
      </c>
      <c r="AE457">
        <f t="shared" si="186"/>
        <v>0</v>
      </c>
    </row>
    <row r="458" spans="1:31" x14ac:dyDescent="0.2">
      <c r="A458" s="347">
        <v>50410.75</v>
      </c>
      <c r="B458" s="364">
        <f t="shared" si="180"/>
        <v>50.41075</v>
      </c>
      <c r="C458" s="337">
        <f t="shared" si="161"/>
        <v>1.2873612060158994</v>
      </c>
      <c r="D458" s="338">
        <f t="shared" si="162"/>
        <v>0.68125532418398627</v>
      </c>
      <c r="E458" s="338">
        <f t="shared" si="163"/>
        <v>1.0000044323168857</v>
      </c>
      <c r="F458" s="339">
        <f t="shared" si="164"/>
        <v>2.9773479859040298E-3</v>
      </c>
      <c r="G458" s="338">
        <f t="shared" si="165"/>
        <v>1</v>
      </c>
      <c r="H458" s="339">
        <f t="shared" si="166"/>
        <v>0</v>
      </c>
      <c r="I458" s="337">
        <f t="shared" si="167"/>
        <v>364892.95697697124</v>
      </c>
      <c r="J458" s="340">
        <f t="shared" si="168"/>
        <v>1.5707935862651581</v>
      </c>
      <c r="K458" s="348">
        <f t="shared" si="184"/>
        <v>8.4403909246555262</v>
      </c>
      <c r="L458" s="349">
        <f t="shared" si="185"/>
        <v>1.4520394570526405</v>
      </c>
      <c r="M458" s="337">
        <f t="shared" si="169"/>
        <v>1.0012256089979359</v>
      </c>
      <c r="N458" s="340">
        <f t="shared" si="170"/>
        <v>4.9484513561095587E-2</v>
      </c>
      <c r="O458" s="341">
        <f t="shared" si="171"/>
        <v>1.0004960639588016</v>
      </c>
      <c r="P458" s="342">
        <f t="shared" si="172"/>
        <v>7.4846047791888554E-2</v>
      </c>
      <c r="Q458" s="343">
        <f t="shared" si="173"/>
        <v>-2.4961393150002626</v>
      </c>
      <c r="R458" s="344">
        <f t="shared" si="174"/>
        <v>-52.790192266793433</v>
      </c>
      <c r="S458" s="346">
        <f t="shared" si="175"/>
        <v>127.20980773320656</v>
      </c>
      <c r="U458" s="319">
        <f t="shared" si="181"/>
        <v>50410.75</v>
      </c>
      <c r="V458" s="319">
        <f t="shared" si="182"/>
        <v>2541243715.5625</v>
      </c>
      <c r="X458" s="345">
        <f t="shared" si="176"/>
        <v>4.9805270341904659</v>
      </c>
      <c r="Y458" s="346">
        <f t="shared" si="177"/>
        <v>-9.6393641929517369</v>
      </c>
      <c r="AA458" s="345">
        <f t="shared" si="178"/>
        <v>30.741300664155528</v>
      </c>
      <c r="AB458" s="346">
        <f t="shared" si="179"/>
        <v>-43.150828073841694</v>
      </c>
      <c r="AD458">
        <f t="shared" si="183"/>
        <v>0</v>
      </c>
      <c r="AE458">
        <f t="shared" si="186"/>
        <v>0</v>
      </c>
    </row>
    <row r="459" spans="1:31" x14ac:dyDescent="0.2">
      <c r="A459" s="347">
        <v>50702.5</v>
      </c>
      <c r="B459" s="364">
        <f t="shared" si="180"/>
        <v>50.702500000000001</v>
      </c>
      <c r="C459" s="337">
        <f t="shared" si="161"/>
        <v>1.2903213039571404</v>
      </c>
      <c r="D459" s="338">
        <f t="shared" si="162"/>
        <v>0.68408001841065991</v>
      </c>
      <c r="E459" s="338">
        <f t="shared" si="163"/>
        <v>1.0000044837689075</v>
      </c>
      <c r="F459" s="339">
        <f t="shared" si="164"/>
        <v>2.9945791537959541E-3</v>
      </c>
      <c r="G459" s="338">
        <f t="shared" si="165"/>
        <v>1</v>
      </c>
      <c r="H459" s="339">
        <f t="shared" si="166"/>
        <v>0</v>
      </c>
      <c r="I459" s="337">
        <f t="shared" si="167"/>
        <v>367004.75892788911</v>
      </c>
      <c r="J459" s="340">
        <f t="shared" si="168"/>
        <v>1.5707936020345885</v>
      </c>
      <c r="K459" s="348">
        <f t="shared" si="184"/>
        <v>8.4885555756189106</v>
      </c>
      <c r="L459" s="349">
        <f t="shared" si="185"/>
        <v>1.452716450160517</v>
      </c>
      <c r="M459" s="337">
        <f t="shared" si="169"/>
        <v>1.0012398275568115</v>
      </c>
      <c r="N459" s="340">
        <f t="shared" si="170"/>
        <v>4.9770431656369393E-2</v>
      </c>
      <c r="O459" s="341">
        <f t="shared" si="171"/>
        <v>1.000501852206604</v>
      </c>
      <c r="P459" s="342">
        <f t="shared" si="172"/>
        <v>7.5279597409654342E-2</v>
      </c>
      <c r="Q459" s="343">
        <f t="shared" si="173"/>
        <v>-2.5169610761041286</v>
      </c>
      <c r="R459" s="344">
        <f t="shared" si="174"/>
        <v>-52.953482570521238</v>
      </c>
      <c r="S459" s="346">
        <f t="shared" si="175"/>
        <v>127.04651742947877</v>
      </c>
      <c r="U459" s="319">
        <f t="shared" si="181"/>
        <v>50702.5</v>
      </c>
      <c r="V459" s="319">
        <f t="shared" si="182"/>
        <v>2570743506.25</v>
      </c>
      <c r="X459" s="345">
        <f t="shared" si="176"/>
        <v>4.9797040780763009</v>
      </c>
      <c r="Y459" s="346">
        <f t="shared" si="177"/>
        <v>-9.6169581487527882</v>
      </c>
      <c r="AA459" s="345">
        <f t="shared" si="178"/>
        <v>30.72130185916583</v>
      </c>
      <c r="AB459" s="346">
        <f t="shared" si="179"/>
        <v>-43.336524421768452</v>
      </c>
      <c r="AD459">
        <f t="shared" si="183"/>
        <v>0</v>
      </c>
      <c r="AE459">
        <f t="shared" si="186"/>
        <v>0</v>
      </c>
    </row>
    <row r="460" spans="1:31" x14ac:dyDescent="0.2">
      <c r="A460" s="347">
        <v>50994.25</v>
      </c>
      <c r="B460" s="364">
        <f t="shared" si="180"/>
        <v>50.994250000000001</v>
      </c>
      <c r="C460" s="337">
        <f t="shared" si="161"/>
        <v>1.293291650063837</v>
      </c>
      <c r="D460" s="338">
        <f t="shared" si="162"/>
        <v>0.68689175984721029</v>
      </c>
      <c r="E460" s="338">
        <f t="shared" si="163"/>
        <v>1.000004535517844</v>
      </c>
      <c r="F460" s="339">
        <f t="shared" si="164"/>
        <v>3.0118103199096129E-3</v>
      </c>
      <c r="G460" s="338">
        <f t="shared" si="165"/>
        <v>1</v>
      </c>
      <c r="H460" s="339">
        <f t="shared" si="166"/>
        <v>0</v>
      </c>
      <c r="I460" s="337">
        <f t="shared" si="167"/>
        <v>369116.56087880715</v>
      </c>
      <c r="J460" s="340">
        <f t="shared" si="168"/>
        <v>1.5707936176235779</v>
      </c>
      <c r="K460" s="348">
        <f t="shared" si="184"/>
        <v>8.5367240731527367</v>
      </c>
      <c r="L460" s="349">
        <f t="shared" si="185"/>
        <v>1.4533858037000029</v>
      </c>
      <c r="M460" s="337">
        <f t="shared" si="169"/>
        <v>1.0012541279638705</v>
      </c>
      <c r="N460" s="340">
        <f t="shared" si="170"/>
        <v>5.0056341607768021E-2</v>
      </c>
      <c r="O460" s="341">
        <f t="shared" si="171"/>
        <v>1.0005076745449906</v>
      </c>
      <c r="P460" s="342">
        <f t="shared" si="172"/>
        <v>7.5713153603202896E-2</v>
      </c>
      <c r="Q460" s="343">
        <f t="shared" si="173"/>
        <v>-2.537795090861239</v>
      </c>
      <c r="R460" s="344">
        <f t="shared" si="174"/>
        <v>-53.116468348986103</v>
      </c>
      <c r="S460" s="346">
        <f t="shared" si="175"/>
        <v>126.8835316510139</v>
      </c>
      <c r="U460" s="319">
        <f t="shared" si="181"/>
        <v>50994.25</v>
      </c>
      <c r="V460" s="319">
        <f t="shared" si="182"/>
        <v>2600413533.0625</v>
      </c>
      <c r="X460" s="345">
        <f t="shared" si="176"/>
        <v>4.9788922773064517</v>
      </c>
      <c r="Y460" s="346">
        <f t="shared" si="177"/>
        <v>-9.5949893426322248</v>
      </c>
      <c r="AA460" s="345">
        <f t="shared" si="178"/>
        <v>30.701279645178573</v>
      </c>
      <c r="AB460" s="346">
        <f t="shared" si="179"/>
        <v>-43.521479006353871</v>
      </c>
      <c r="AD460">
        <f t="shared" si="183"/>
        <v>0</v>
      </c>
      <c r="AE460">
        <f t="shared" si="186"/>
        <v>0</v>
      </c>
    </row>
    <row r="461" spans="1:31" x14ac:dyDescent="0.2">
      <c r="A461" s="347">
        <v>51286</v>
      </c>
      <c r="B461" s="364">
        <f t="shared" si="180"/>
        <v>51.286000000000001</v>
      </c>
      <c r="C461" s="337">
        <f t="shared" ref="C461:C524" si="187">SQRT(1+(A461/pole1)^2)</f>
        <v>1.296272173886438</v>
      </c>
      <c r="D461" s="338">
        <f t="shared" ref="D461:D524" si="188">ATAN(A461/pole1)</f>
        <v>0.68969059322965576</v>
      </c>
      <c r="E461" s="338">
        <f t="shared" ref="E461:E524" si="189">SQRT(1+(A461/Zero1)^2)</f>
        <v>1.0000045875636947</v>
      </c>
      <c r="F461" s="339">
        <f t="shared" ref="F461:F524" si="190">ATAN(A461/Zero1)</f>
        <v>3.0290414842347752E-3</v>
      </c>
      <c r="G461" s="338">
        <f t="shared" ref="G461:G524" si="191">IF(VIN_nom&gt;Vout, 1, SQRT(1+(A461/z_RHP)^2))</f>
        <v>1</v>
      </c>
      <c r="H461" s="339">
        <f t="shared" ref="H461:H524" si="192">IF(VIN_nom&gt;Vout, 0, -ATAN(A461/z_RHP))</f>
        <v>0</v>
      </c>
      <c r="I461" s="337">
        <f t="shared" ref="I461:I524" si="193">SQRT(1+(A461/Pole2)^2)</f>
        <v>371228.3628297252</v>
      </c>
      <c r="J461" s="340">
        <f t="shared" ref="J461:J524" si="194">ATAN(A461/Pole2)</f>
        <v>1.5707936330352055</v>
      </c>
      <c r="K461" s="348">
        <f t="shared" si="184"/>
        <v>8.5848963525095083</v>
      </c>
      <c r="L461" s="349">
        <f t="shared" si="185"/>
        <v>1.4540476456695375</v>
      </c>
      <c r="M461" s="337">
        <f t="shared" ref="M461:M524" si="195">SQRT(1+(A461/pole4)^2)</f>
        <v>1.0012685102156058</v>
      </c>
      <c r="N461" s="340">
        <f t="shared" ref="N461:N524" si="196">ATAN(A461/pole4)</f>
        <v>5.0342243368898282E-2</v>
      </c>
      <c r="O461" s="341">
        <f t="shared" ref="O461:O524" si="197">SQRT((1-(V461/pterm2))^2+(A461/pterm1)^2)</f>
        <v>1.0005135309858255</v>
      </c>
      <c r="P461" s="342">
        <f t="shared" ref="P461:P524" si="198">IF((ATAN((A461/pterm1)/(1-A461^2/pterm2))&gt;0),ATAN((A461/pterm1)/(1-A461^2/pterm2)),PI()+ATAN((A461/pterm1)/(1-A461^2/pterm2)))</f>
        <v>7.614671640958913E-2</v>
      </c>
      <c r="Q461" s="343">
        <f t="shared" ref="Q461:Q524" si="199">20*LOG10(((E461*K461*G461)/(C461*I461*O461*M461))*Adc)</f>
        <v>-2.5586408892400758</v>
      </c>
      <c r="R461" s="344">
        <f t="shared" ref="R461:R524" si="200">((F461+L461+H461)-(D461+J461+P461+N461))*radconv</f>
        <v>-53.279144831244651</v>
      </c>
      <c r="S461" s="346">
        <f t="shared" ref="S461:S524" si="201">IF(R461&gt;0,R461,R461+180)</f>
        <v>126.72085516875535</v>
      </c>
      <c r="U461" s="319">
        <f t="shared" si="181"/>
        <v>51286</v>
      </c>
      <c r="V461" s="319">
        <f t="shared" si="182"/>
        <v>2630253796</v>
      </c>
      <c r="X461" s="345">
        <f t="shared" ref="X461:X524" si="202">20*LOG10((K461/(I461*M461))*AEA)</f>
        <v>4.9780913658124195</v>
      </c>
      <c r="Y461" s="346">
        <f t="shared" ref="Y461:Y524" si="203">(L461-(J461+N461))*radconv</f>
        <v>-9.5734504383379946</v>
      </c>
      <c r="AA461" s="345">
        <f t="shared" ref="AA461:AA524" si="204">20*LOG10((E461*G461/(C461*O461))*Acs*Am)</f>
        <v>30.681234758293769</v>
      </c>
      <c r="AB461" s="346">
        <f t="shared" ref="AB461:AB524" si="205">(F461+H461-(D461+P461))*radconv</f>
        <v>-43.705694392906672</v>
      </c>
      <c r="AD461">
        <f t="shared" si="183"/>
        <v>0</v>
      </c>
      <c r="AE461">
        <f t="shared" si="186"/>
        <v>0</v>
      </c>
    </row>
    <row r="462" spans="1:31" x14ac:dyDescent="0.2">
      <c r="A462" s="347">
        <v>51584.75</v>
      </c>
      <c r="B462" s="364">
        <f t="shared" ref="B462:B525" si="206">A462/1000</f>
        <v>51.58475</v>
      </c>
      <c r="C462" s="337">
        <f t="shared" si="187"/>
        <v>1.2993346836249178</v>
      </c>
      <c r="D462" s="338">
        <f t="shared" si="188"/>
        <v>0.6925432502490827</v>
      </c>
      <c r="E462" s="338">
        <f t="shared" si="189"/>
        <v>1.0000046411659747</v>
      </c>
      <c r="F462" s="339">
        <f t="shared" si="190"/>
        <v>3.0466860765168673E-3</v>
      </c>
      <c r="G462" s="338">
        <f t="shared" si="191"/>
        <v>1</v>
      </c>
      <c r="H462" s="339">
        <f t="shared" si="192"/>
        <v>0</v>
      </c>
      <c r="I462" s="337">
        <f t="shared" si="193"/>
        <v>373390.83355067397</v>
      </c>
      <c r="J462" s="340">
        <f t="shared" si="194"/>
        <v>1.5707936486359539</v>
      </c>
      <c r="K462" s="348">
        <f t="shared" si="184"/>
        <v>8.6342282892393527</v>
      </c>
      <c r="L462" s="349">
        <f t="shared" si="185"/>
        <v>1.4547177139667549</v>
      </c>
      <c r="M462" s="337">
        <f t="shared" si="195"/>
        <v>1.0012833223529072</v>
      </c>
      <c r="N462" s="340">
        <f t="shared" si="196"/>
        <v>5.063499627654286E-2</v>
      </c>
      <c r="O462" s="341">
        <f t="shared" si="197"/>
        <v>1.0005195632931603</v>
      </c>
      <c r="P462" s="342">
        <f t="shared" si="198"/>
        <v>7.6590688642603169E-2</v>
      </c>
      <c r="Q462" s="343">
        <f t="shared" si="199"/>
        <v>-2.5799985649839368</v>
      </c>
      <c r="R462" s="344">
        <f t="shared" si="200"/>
        <v>-53.445399128039057</v>
      </c>
      <c r="S462" s="346">
        <f t="shared" si="201"/>
        <v>126.55460087196094</v>
      </c>
      <c r="U462" s="319">
        <f t="shared" ref="U462:U525" si="207">IF(Q462&lt;0,A462,1000000000)</f>
        <v>51584.75</v>
      </c>
      <c r="V462" s="319">
        <f t="shared" ref="V462:V525" si="208">A462^2</f>
        <v>2660986432.5625</v>
      </c>
      <c r="X462" s="345">
        <f t="shared" si="202"/>
        <v>4.9772822520987745</v>
      </c>
      <c r="Y462" s="346">
        <f t="shared" si="203"/>
        <v>-9.5518327528024844</v>
      </c>
      <c r="AA462" s="345">
        <f t="shared" si="204"/>
        <v>30.660686196263548</v>
      </c>
      <c r="AB462" s="346">
        <f t="shared" si="205"/>
        <v>-43.893566375236595</v>
      </c>
      <c r="AD462">
        <f t="shared" ref="AD462:AD525" si="209">SUM((Q463&lt;0)*(Q462&gt;0))*A462</f>
        <v>0</v>
      </c>
      <c r="AE462">
        <f t="shared" si="186"/>
        <v>0</v>
      </c>
    </row>
    <row r="463" spans="1:31" x14ac:dyDescent="0.2">
      <c r="A463" s="347">
        <v>51883.5</v>
      </c>
      <c r="B463" s="364">
        <f t="shared" si="206"/>
        <v>51.883499999999998</v>
      </c>
      <c r="C463" s="337">
        <f t="shared" si="187"/>
        <v>1.3024077171212483</v>
      </c>
      <c r="D463" s="338">
        <f t="shared" si="188"/>
        <v>0.69538246858307451</v>
      </c>
      <c r="E463" s="338">
        <f t="shared" si="189"/>
        <v>1.0000046950795878</v>
      </c>
      <c r="F463" s="339">
        <f t="shared" si="190"/>
        <v>3.0643306669018949E-3</v>
      </c>
      <c r="G463" s="338">
        <f t="shared" si="191"/>
        <v>1</v>
      </c>
      <c r="H463" s="339">
        <f t="shared" si="192"/>
        <v>0</v>
      </c>
      <c r="I463" s="337">
        <f t="shared" si="193"/>
        <v>375553.30427162285</v>
      </c>
      <c r="J463" s="340">
        <f t="shared" si="194"/>
        <v>1.5707936640570412</v>
      </c>
      <c r="K463" s="348">
        <f t="shared" si="184"/>
        <v>8.6835640586159411</v>
      </c>
      <c r="L463" s="349">
        <f t="shared" si="185"/>
        <v>1.4553801685570769</v>
      </c>
      <c r="M463" s="337">
        <f t="shared" si="195"/>
        <v>1.0012982203019163</v>
      </c>
      <c r="N463" s="340">
        <f t="shared" si="196"/>
        <v>5.0927740497749958E-2</v>
      </c>
      <c r="O463" s="341">
        <f t="shared" si="197"/>
        <v>1.0005256313844233</v>
      </c>
      <c r="P463" s="342">
        <f t="shared" si="198"/>
        <v>7.7034667888184999E-2</v>
      </c>
      <c r="Q463" s="343">
        <f t="shared" si="199"/>
        <v>-2.6013676022724481</v>
      </c>
      <c r="R463" s="344">
        <f t="shared" si="200"/>
        <v>-53.611319572056203</v>
      </c>
      <c r="S463" s="346">
        <f t="shared" si="201"/>
        <v>126.3886804279438</v>
      </c>
      <c r="U463" s="319">
        <f t="shared" si="207"/>
        <v>51883.5</v>
      </c>
      <c r="V463" s="319">
        <f t="shared" si="208"/>
        <v>2691897572.25</v>
      </c>
      <c r="X463" s="345">
        <f t="shared" si="202"/>
        <v>4.9764840153142496</v>
      </c>
      <c r="Y463" s="346">
        <f t="shared" si="203"/>
        <v>-9.5306507925489878</v>
      </c>
      <c r="AA463" s="345">
        <f t="shared" si="204"/>
        <v>30.640115395759565</v>
      </c>
      <c r="AB463" s="346">
        <f t="shared" si="205"/>
        <v>-44.080668779507221</v>
      </c>
      <c r="AD463">
        <f t="shared" si="209"/>
        <v>0</v>
      </c>
      <c r="AE463">
        <f t="shared" si="186"/>
        <v>0</v>
      </c>
    </row>
    <row r="464" spans="1:31" x14ac:dyDescent="0.2">
      <c r="A464" s="347">
        <v>52182.25</v>
      </c>
      <c r="B464" s="364">
        <f t="shared" si="206"/>
        <v>52.182250000000003</v>
      </c>
      <c r="C464" s="337">
        <f t="shared" si="187"/>
        <v>1.3054912000588972</v>
      </c>
      <c r="D464" s="338">
        <f t="shared" si="188"/>
        <v>0.6982082975192907</v>
      </c>
      <c r="E464" s="338">
        <f t="shared" si="189"/>
        <v>1.0000047493045339</v>
      </c>
      <c r="F464" s="339">
        <f t="shared" si="190"/>
        <v>3.0819752553788711E-3</v>
      </c>
      <c r="G464" s="338">
        <f t="shared" si="191"/>
        <v>1</v>
      </c>
      <c r="H464" s="339">
        <f t="shared" si="192"/>
        <v>0</v>
      </c>
      <c r="I464" s="337">
        <f t="shared" si="193"/>
        <v>377715.77499257174</v>
      </c>
      <c r="J464" s="340">
        <f t="shared" si="194"/>
        <v>1.5707936793015531</v>
      </c>
      <c r="K464" s="348">
        <f t="shared" si="184"/>
        <v>8.7329035956826733</v>
      </c>
      <c r="L464" s="349">
        <f t="shared" si="185"/>
        <v>1.456035137902842</v>
      </c>
      <c r="M464" s="337">
        <f t="shared" si="195"/>
        <v>1.0013132040588031</v>
      </c>
      <c r="N464" s="340">
        <f t="shared" si="196"/>
        <v>5.1220475982732522E-2</v>
      </c>
      <c r="O464" s="341">
        <f t="shared" si="197"/>
        <v>1.0005317352725744</v>
      </c>
      <c r="P464" s="342">
        <f t="shared" si="198"/>
        <v>7.7478654186077037E-2</v>
      </c>
      <c r="Q464" s="343">
        <f t="shared" si="199"/>
        <v>-2.6227475001405569</v>
      </c>
      <c r="R464" s="344">
        <f t="shared" si="200"/>
        <v>-53.776901626523063</v>
      </c>
      <c r="S464" s="346">
        <f t="shared" si="201"/>
        <v>126.22309837347694</v>
      </c>
      <c r="U464" s="319">
        <f t="shared" si="207"/>
        <v>52182.25</v>
      </c>
      <c r="V464" s="319">
        <f t="shared" si="208"/>
        <v>2722987215.0625</v>
      </c>
      <c r="X464" s="345">
        <f t="shared" si="202"/>
        <v>4.975696393108481</v>
      </c>
      <c r="Y464" s="346">
        <f t="shared" si="203"/>
        <v>-9.5098971945518986</v>
      </c>
      <c r="AA464" s="345">
        <f t="shared" si="204"/>
        <v>30.619523120097227</v>
      </c>
      <c r="AB464" s="346">
        <f t="shared" si="205"/>
        <v>-44.267004431971145</v>
      </c>
      <c r="AD464">
        <f t="shared" si="209"/>
        <v>0</v>
      </c>
      <c r="AE464">
        <f t="shared" si="186"/>
        <v>0</v>
      </c>
    </row>
    <row r="465" spans="1:31" x14ac:dyDescent="0.2">
      <c r="A465" s="347">
        <v>52481</v>
      </c>
      <c r="B465" s="364">
        <f t="shared" si="206"/>
        <v>52.481000000000002</v>
      </c>
      <c r="C465" s="337">
        <f t="shared" si="187"/>
        <v>1.3085850585702785</v>
      </c>
      <c r="D465" s="338">
        <f t="shared" si="188"/>
        <v>0.70102078673697876</v>
      </c>
      <c r="E465" s="338">
        <f t="shared" si="189"/>
        <v>1.0000048038408129</v>
      </c>
      <c r="F465" s="339">
        <f t="shared" si="190"/>
        <v>3.099619841936809E-3</v>
      </c>
      <c r="G465" s="338">
        <f t="shared" si="191"/>
        <v>1</v>
      </c>
      <c r="H465" s="339">
        <f t="shared" si="192"/>
        <v>0</v>
      </c>
      <c r="I465" s="337">
        <f t="shared" si="193"/>
        <v>379878.24571352074</v>
      </c>
      <c r="J465" s="340">
        <f t="shared" si="194"/>
        <v>1.5707936943725054</v>
      </c>
      <c r="K465" s="348">
        <f t="shared" si="184"/>
        <v>8.7822468369377749</v>
      </c>
      <c r="L465" s="349">
        <f t="shared" si="185"/>
        <v>1.4566827476053357</v>
      </c>
      <c r="M465" s="337">
        <f t="shared" si="195"/>
        <v>1.0013282736197155</v>
      </c>
      <c r="N465" s="340">
        <f t="shared" si="196"/>
        <v>5.1513202681712493E-2</v>
      </c>
      <c r="O465" s="341">
        <f t="shared" si="197"/>
        <v>1.0005378749706482</v>
      </c>
      <c r="P465" s="342">
        <f t="shared" si="198"/>
        <v>7.7922647576006726E-2</v>
      </c>
      <c r="Q465" s="343">
        <f t="shared" si="199"/>
        <v>-2.6441377593061328</v>
      </c>
      <c r="R465" s="344">
        <f t="shared" si="200"/>
        <v>-53.942140941024789</v>
      </c>
      <c r="S465" s="346">
        <f t="shared" si="201"/>
        <v>126.05785905897521</v>
      </c>
      <c r="U465" s="319">
        <f t="shared" si="207"/>
        <v>52481</v>
      </c>
      <c r="V465" s="319">
        <f t="shared" si="208"/>
        <v>2754255361</v>
      </c>
      <c r="X465" s="345">
        <f t="shared" si="202"/>
        <v>4.9749191304821645</v>
      </c>
      <c r="Y465" s="346">
        <f t="shared" si="203"/>
        <v>-9.4895647597083546</v>
      </c>
      <c r="AA465" s="345">
        <f t="shared" si="204"/>
        <v>30.598910123557964</v>
      </c>
      <c r="AB465" s="346">
        <f t="shared" si="205"/>
        <v>-44.452576181316424</v>
      </c>
      <c r="AD465">
        <f t="shared" si="209"/>
        <v>0</v>
      </c>
      <c r="AE465">
        <f t="shared" si="186"/>
        <v>0</v>
      </c>
    </row>
    <row r="466" spans="1:31" x14ac:dyDescent="0.2">
      <c r="A466" s="347">
        <v>52786.5</v>
      </c>
      <c r="B466" s="364">
        <f t="shared" si="206"/>
        <v>52.786499999999997</v>
      </c>
      <c r="C466" s="337">
        <f t="shared" si="187"/>
        <v>1.3117594735296612</v>
      </c>
      <c r="D466" s="338">
        <f t="shared" si="188"/>
        <v>0.70388307867014699</v>
      </c>
      <c r="E466" s="338">
        <f t="shared" si="189"/>
        <v>1.0000048599312561</v>
      </c>
      <c r="F466" s="339">
        <f t="shared" si="190"/>
        <v>3.1176630907975324E-3</v>
      </c>
      <c r="G466" s="338">
        <f t="shared" si="191"/>
        <v>1</v>
      </c>
      <c r="H466" s="339">
        <f t="shared" si="192"/>
        <v>0</v>
      </c>
      <c r="I466" s="337">
        <f t="shared" si="193"/>
        <v>382089.5756055708</v>
      </c>
      <c r="J466" s="340">
        <f t="shared" si="194"/>
        <v>1.5707937096075566</v>
      </c>
      <c r="K466" s="348">
        <f t="shared" si="184"/>
        <v>8.8327087123958155</v>
      </c>
      <c r="L466" s="349">
        <f t="shared" si="185"/>
        <v>1.4573375064980276</v>
      </c>
      <c r="M466" s="337">
        <f t="shared" si="195"/>
        <v>1.0013437723943241</v>
      </c>
      <c r="N466" s="340">
        <f t="shared" si="196"/>
        <v>5.1812534151502783E-2</v>
      </c>
      <c r="O466" s="341">
        <f t="shared" si="197"/>
        <v>1.0005441904362977</v>
      </c>
      <c r="P466" s="342">
        <f t="shared" si="198"/>
        <v>7.8376679991333811E-2</v>
      </c>
      <c r="Q466" s="343">
        <f t="shared" si="199"/>
        <v>-2.6660215098812436</v>
      </c>
      <c r="R466" s="344">
        <f t="shared" si="200"/>
        <v>-54.110754909522946</v>
      </c>
      <c r="S466" s="346">
        <f t="shared" si="201"/>
        <v>125.88924509047706</v>
      </c>
      <c r="U466" s="319">
        <f t="shared" si="207"/>
        <v>52786.5</v>
      </c>
      <c r="V466" s="319">
        <f t="shared" si="208"/>
        <v>2786414582.25</v>
      </c>
      <c r="X466" s="345">
        <f t="shared" si="202"/>
        <v>4.9741347613477762</v>
      </c>
      <c r="Y466" s="346">
        <f t="shared" si="203"/>
        <v>-9.4692011413337465</v>
      </c>
      <c r="AA466" s="345">
        <f t="shared" si="204"/>
        <v>30.577810742117244</v>
      </c>
      <c r="AB466" s="346">
        <f t="shared" si="205"/>
        <v>-44.641553768189191</v>
      </c>
      <c r="AD466">
        <f t="shared" si="209"/>
        <v>0</v>
      </c>
      <c r="AE466">
        <f t="shared" si="186"/>
        <v>0</v>
      </c>
    </row>
    <row r="467" spans="1:31" x14ac:dyDescent="0.2">
      <c r="A467" s="347">
        <v>53092</v>
      </c>
      <c r="B467" s="364">
        <f t="shared" si="206"/>
        <v>53.091999999999999</v>
      </c>
      <c r="C467" s="337">
        <f t="shared" si="187"/>
        <v>1.3149445834213234</v>
      </c>
      <c r="D467" s="338">
        <f t="shared" si="188"/>
        <v>0.70673152753626911</v>
      </c>
      <c r="E467" s="338">
        <f t="shared" si="189"/>
        <v>1.0000049163472597</v>
      </c>
      <c r="F467" s="339">
        <f t="shared" si="190"/>
        <v>3.1357063376282841E-3</v>
      </c>
      <c r="G467" s="338">
        <f t="shared" si="191"/>
        <v>1</v>
      </c>
      <c r="H467" s="339">
        <f t="shared" si="192"/>
        <v>0</v>
      </c>
      <c r="I467" s="337">
        <f t="shared" si="193"/>
        <v>384300.90549762093</v>
      </c>
      <c r="J467" s="340">
        <f t="shared" si="194"/>
        <v>1.5707937246672781</v>
      </c>
      <c r="K467" s="348">
        <f t="shared" si="184"/>
        <v>8.8831743314953293</v>
      </c>
      <c r="L467" s="349">
        <f t="shared" si="185"/>
        <v>1.4579848262500033</v>
      </c>
      <c r="M467" s="337">
        <f t="shared" si="195"/>
        <v>1.0013593608858808</v>
      </c>
      <c r="N467" s="340">
        <f t="shared" si="196"/>
        <v>5.2111856328527939E-2</v>
      </c>
      <c r="O467" s="341">
        <f t="shared" si="197"/>
        <v>1.0005505433761461</v>
      </c>
      <c r="P467" s="342">
        <f t="shared" si="198"/>
        <v>7.8830719906771748E-2</v>
      </c>
      <c r="Q467" s="343">
        <f t="shared" si="199"/>
        <v>-2.6879150454823151</v>
      </c>
      <c r="R467" s="344">
        <f t="shared" si="200"/>
        <v>-54.279001847428823</v>
      </c>
      <c r="S467" s="346">
        <f t="shared" si="201"/>
        <v>125.72099815257118</v>
      </c>
      <c r="U467" s="319">
        <f t="shared" si="207"/>
        <v>53092</v>
      </c>
      <c r="V467" s="319">
        <f t="shared" si="208"/>
        <v>2818760464</v>
      </c>
      <c r="X467" s="345">
        <f t="shared" si="202"/>
        <v>4.9733607083663598</v>
      </c>
      <c r="Y467" s="346">
        <f t="shared" si="203"/>
        <v>-9.4492632118439932</v>
      </c>
      <c r="AA467" s="345">
        <f t="shared" si="204"/>
        <v>30.556691259497587</v>
      </c>
      <c r="AB467" s="346">
        <f t="shared" si="205"/>
        <v>-44.829738635584803</v>
      </c>
      <c r="AD467">
        <f t="shared" si="209"/>
        <v>0</v>
      </c>
      <c r="AE467">
        <f t="shared" si="186"/>
        <v>0</v>
      </c>
    </row>
    <row r="468" spans="1:31" x14ac:dyDescent="0.2">
      <c r="A468" s="347">
        <v>53397.5</v>
      </c>
      <c r="B468" s="364">
        <f t="shared" si="206"/>
        <v>53.397500000000001</v>
      </c>
      <c r="C468" s="337">
        <f t="shared" si="187"/>
        <v>1.3181403107166432</v>
      </c>
      <c r="D468" s="338">
        <f t="shared" si="188"/>
        <v>0.70956618762960066</v>
      </c>
      <c r="E468" s="338">
        <f t="shared" si="189"/>
        <v>1.0000049730888239</v>
      </c>
      <c r="F468" s="339">
        <f t="shared" si="190"/>
        <v>3.1537495824173157E-3</v>
      </c>
      <c r="G468" s="338">
        <f t="shared" si="191"/>
        <v>1</v>
      </c>
      <c r="H468" s="339">
        <f t="shared" si="192"/>
        <v>0</v>
      </c>
      <c r="I468" s="337">
        <f t="shared" si="193"/>
        <v>386512.23538967117</v>
      </c>
      <c r="J468" s="340">
        <f t="shared" si="194"/>
        <v>1.5707937395546789</v>
      </c>
      <c r="K468" s="348">
        <f t="shared" si="184"/>
        <v>8.9336436307934921</v>
      </c>
      <c r="L468" s="349">
        <f t="shared" si="185"/>
        <v>1.458624832393107</v>
      </c>
      <c r="M468" s="337">
        <f t="shared" si="195"/>
        <v>1.0013750390901954</v>
      </c>
      <c r="N468" s="340">
        <f t="shared" si="196"/>
        <v>5.2411169159588405E-2</v>
      </c>
      <c r="O468" s="341">
        <f t="shared" si="197"/>
        <v>1.0005569338043729</v>
      </c>
      <c r="P468" s="342">
        <f t="shared" si="198"/>
        <v>7.9284767364752526E-2</v>
      </c>
      <c r="Q468" s="343">
        <f t="shared" si="199"/>
        <v>-2.7098178389211536</v>
      </c>
      <c r="R468" s="344">
        <f t="shared" si="200"/>
        <v>-54.446877672685304</v>
      </c>
      <c r="S468" s="346">
        <f t="shared" si="201"/>
        <v>125.5531223273147</v>
      </c>
      <c r="U468" s="319">
        <f t="shared" si="207"/>
        <v>53397.5</v>
      </c>
      <c r="V468" s="319">
        <f t="shared" si="208"/>
        <v>2851293006.25</v>
      </c>
      <c r="X468" s="345">
        <f t="shared" si="202"/>
        <v>4.9725967211449511</v>
      </c>
      <c r="Y468" s="346">
        <f t="shared" si="203"/>
        <v>-9.4297437759185101</v>
      </c>
      <c r="AA468" s="345">
        <f t="shared" si="204"/>
        <v>30.535552453280161</v>
      </c>
      <c r="AB468" s="346">
        <f t="shared" si="205"/>
        <v>-45.017133896766801</v>
      </c>
      <c r="AD468">
        <f t="shared" si="209"/>
        <v>0</v>
      </c>
      <c r="AE468">
        <f t="shared" si="186"/>
        <v>0</v>
      </c>
    </row>
    <row r="469" spans="1:31" x14ac:dyDescent="0.2">
      <c r="A469" s="347">
        <v>53703</v>
      </c>
      <c r="B469" s="364">
        <f t="shared" si="206"/>
        <v>53.703000000000003</v>
      </c>
      <c r="C469" s="337">
        <f t="shared" si="187"/>
        <v>1.3213465783798317</v>
      </c>
      <c r="D469" s="338">
        <f t="shared" si="188"/>
        <v>0.71238711360640461</v>
      </c>
      <c r="E469" s="338">
        <f t="shared" si="189"/>
        <v>1.0000050301559482</v>
      </c>
      <c r="F469" s="339">
        <f t="shared" si="190"/>
        <v>3.1717928251528797E-3</v>
      </c>
      <c r="G469" s="338">
        <f t="shared" si="191"/>
        <v>1</v>
      </c>
      <c r="H469" s="339">
        <f t="shared" si="192"/>
        <v>0</v>
      </c>
      <c r="I469" s="337">
        <f t="shared" si="193"/>
        <v>388723.56528172153</v>
      </c>
      <c r="J469" s="340">
        <f t="shared" si="194"/>
        <v>1.5707937542727002</v>
      </c>
      <c r="K469" s="348">
        <f t="shared" si="184"/>
        <v>8.9841165482684993</v>
      </c>
      <c r="L469" s="349">
        <f t="shared" si="185"/>
        <v>1.4592576476624997</v>
      </c>
      <c r="M469" s="337">
        <f t="shared" si="195"/>
        <v>1.0013908070030542</v>
      </c>
      <c r="N469" s="340">
        <f t="shared" si="196"/>
        <v>5.2710472591494646E-2</v>
      </c>
      <c r="O469" s="341">
        <f t="shared" si="197"/>
        <v>1.0005633617352394</v>
      </c>
      <c r="P469" s="342">
        <f t="shared" si="198"/>
        <v>7.9738822407691326E-2</v>
      </c>
      <c r="Q469" s="343">
        <f t="shared" si="199"/>
        <v>-2.7317293656536852</v>
      </c>
      <c r="R469" s="344">
        <f t="shared" si="200"/>
        <v>-54.61437848421081</v>
      </c>
      <c r="S469" s="346">
        <f t="shared" si="201"/>
        <v>125.38562151578918</v>
      </c>
      <c r="U469" s="319">
        <f t="shared" si="207"/>
        <v>53703</v>
      </c>
      <c r="V469" s="319">
        <f t="shared" si="208"/>
        <v>2884012209</v>
      </c>
      <c r="X469" s="345">
        <f t="shared" si="202"/>
        <v>4.971842556306286</v>
      </c>
      <c r="Y469" s="346">
        <f t="shared" si="203"/>
        <v>-9.4106357984715565</v>
      </c>
      <c r="AA469" s="345">
        <f t="shared" si="204"/>
        <v>30.514395091386287</v>
      </c>
      <c r="AB469" s="346">
        <f t="shared" si="205"/>
        <v>-45.203742685739265</v>
      </c>
      <c r="AD469">
        <f t="shared" si="209"/>
        <v>0</v>
      </c>
      <c r="AE469">
        <f t="shared" si="186"/>
        <v>0</v>
      </c>
    </row>
    <row r="470" spans="1:31" x14ac:dyDescent="0.2">
      <c r="A470" s="347">
        <v>54015.75</v>
      </c>
      <c r="B470" s="364">
        <f t="shared" si="206"/>
        <v>54.015749999999997</v>
      </c>
      <c r="C470" s="337">
        <f t="shared" si="187"/>
        <v>1.3246397744970935</v>
      </c>
      <c r="D470" s="338">
        <f t="shared" si="188"/>
        <v>0.71526081518093321</v>
      </c>
      <c r="E470" s="338">
        <f t="shared" si="189"/>
        <v>1.0000050889146068</v>
      </c>
      <c r="F470" s="339">
        <f t="shared" si="190"/>
        <v>3.1902642605439045E-3</v>
      </c>
      <c r="G470" s="338">
        <f t="shared" si="191"/>
        <v>1</v>
      </c>
      <c r="H470" s="339">
        <f t="shared" si="192"/>
        <v>0</v>
      </c>
      <c r="I470" s="337">
        <f t="shared" si="193"/>
        <v>390987.37354273215</v>
      </c>
      <c r="J470" s="340">
        <f t="shared" si="194"/>
        <v>1.5707937691675469</v>
      </c>
      <c r="K470" s="348">
        <f t="shared" si="184"/>
        <v>9.0357909528928815</v>
      </c>
      <c r="L470" s="349">
        <f t="shared" si="185"/>
        <v>1.4598981570565868</v>
      </c>
      <c r="M470" s="337">
        <f t="shared" si="195"/>
        <v>1.0014070420362882</v>
      </c>
      <c r="N470" s="340">
        <f t="shared" si="196"/>
        <v>5.301686917709314E-2</v>
      </c>
      <c r="O470" s="341">
        <f t="shared" si="197"/>
        <v>1.000569981074281</v>
      </c>
      <c r="P470" s="342">
        <f t="shared" si="198"/>
        <v>8.0203660799004525E-2</v>
      </c>
      <c r="Q470" s="343">
        <f t="shared" si="199"/>
        <v>-2.7541693896363544</v>
      </c>
      <c r="R470" s="344">
        <f t="shared" si="200"/>
        <v>-54.785461998499507</v>
      </c>
      <c r="S470" s="346">
        <f t="shared" si="201"/>
        <v>125.2145380015005</v>
      </c>
      <c r="U470" s="319">
        <f t="shared" si="207"/>
        <v>54015.75</v>
      </c>
      <c r="V470" s="319">
        <f t="shared" si="208"/>
        <v>2917701248.0625</v>
      </c>
      <c r="X470" s="345">
        <f t="shared" si="202"/>
        <v>4.9710804217562616</v>
      </c>
      <c r="Y470" s="346">
        <f t="shared" si="203"/>
        <v>-9.3914933980538766</v>
      </c>
      <c r="AA470" s="345">
        <f t="shared" si="204"/>
        <v>30.492717201953642</v>
      </c>
      <c r="AB470" s="346">
        <f t="shared" si="205"/>
        <v>-45.39396860044566</v>
      </c>
      <c r="AD470">
        <f t="shared" si="209"/>
        <v>0</v>
      </c>
      <c r="AE470">
        <f t="shared" si="186"/>
        <v>0</v>
      </c>
    </row>
    <row r="471" spans="1:31" x14ac:dyDescent="0.2">
      <c r="A471" s="347">
        <v>54328.5</v>
      </c>
      <c r="B471" s="364">
        <f t="shared" si="206"/>
        <v>54.328499999999998</v>
      </c>
      <c r="C471" s="337">
        <f t="shared" si="187"/>
        <v>1.3279438553938359</v>
      </c>
      <c r="D471" s="338">
        <f t="shared" si="188"/>
        <v>0.71812024005463182</v>
      </c>
      <c r="E471" s="338">
        <f t="shared" si="189"/>
        <v>1.0000051480144612</v>
      </c>
      <c r="F471" s="339">
        <f t="shared" si="190"/>
        <v>3.2087356937579247E-3</v>
      </c>
      <c r="G471" s="338">
        <f t="shared" si="191"/>
        <v>1</v>
      </c>
      <c r="H471" s="339">
        <f t="shared" si="192"/>
        <v>0</v>
      </c>
      <c r="I471" s="337">
        <f t="shared" si="193"/>
        <v>393251.18180374295</v>
      </c>
      <c r="J471" s="340">
        <f t="shared" si="194"/>
        <v>1.5707937838909047</v>
      </c>
      <c r="K471" s="348">
        <f t="shared" ref="K471:K534" si="210">SQRT(1+(A471/Zero2)^2)</f>
        <v>9.0874690223122876</v>
      </c>
      <c r="L471" s="349">
        <f t="shared" ref="L471:L534" si="211">ATAN(A471/Zero2)</f>
        <v>1.4605313818878034</v>
      </c>
      <c r="M471" s="337">
        <f t="shared" si="195"/>
        <v>1.0014233710774276</v>
      </c>
      <c r="N471" s="340">
        <f t="shared" si="196"/>
        <v>5.3323255799351654E-2</v>
      </c>
      <c r="O471" s="341">
        <f t="shared" si="197"/>
        <v>1.0005766397475848</v>
      </c>
      <c r="P471" s="342">
        <f t="shared" si="198"/>
        <v>8.0668507229458383E-2</v>
      </c>
      <c r="Q471" s="343">
        <f t="shared" si="199"/>
        <v>-2.776617463057462</v>
      </c>
      <c r="R471" s="344">
        <f t="shared" si="200"/>
        <v>-54.956144772843558</v>
      </c>
      <c r="S471" s="346">
        <f t="shared" si="201"/>
        <v>125.04385522715644</v>
      </c>
      <c r="U471" s="319">
        <f t="shared" si="207"/>
        <v>54328.5</v>
      </c>
      <c r="V471" s="319">
        <f t="shared" si="208"/>
        <v>2951585912.25</v>
      </c>
      <c r="X471" s="345">
        <f t="shared" si="202"/>
        <v>4.9703280866639794</v>
      </c>
      <c r="Y471" s="346">
        <f t="shared" si="203"/>
        <v>-9.3727677916618326</v>
      </c>
      <c r="AA471" s="345">
        <f t="shared" si="204"/>
        <v>30.471021463624822</v>
      </c>
      <c r="AB471" s="346">
        <f t="shared" si="205"/>
        <v>-45.583376981181758</v>
      </c>
      <c r="AD471">
        <f t="shared" si="209"/>
        <v>0</v>
      </c>
      <c r="AE471">
        <f t="shared" si="186"/>
        <v>0</v>
      </c>
    </row>
    <row r="472" spans="1:31" x14ac:dyDescent="0.2">
      <c r="A472" s="347">
        <v>54641.25</v>
      </c>
      <c r="B472" s="364">
        <f t="shared" si="206"/>
        <v>54.641249999999999</v>
      </c>
      <c r="C472" s="337">
        <f t="shared" si="187"/>
        <v>1.3312587400245273</v>
      </c>
      <c r="D472" s="338">
        <f t="shared" si="188"/>
        <v>0.72096544794308393</v>
      </c>
      <c r="E472" s="338">
        <f t="shared" si="189"/>
        <v>1.000005207455511</v>
      </c>
      <c r="F472" s="339">
        <f t="shared" si="190"/>
        <v>3.2272071247823352E-3</v>
      </c>
      <c r="G472" s="338">
        <f t="shared" si="191"/>
        <v>1</v>
      </c>
      <c r="H472" s="339">
        <f t="shared" si="192"/>
        <v>0</v>
      </c>
      <c r="I472" s="337">
        <f t="shared" si="193"/>
        <v>395514.99006475374</v>
      </c>
      <c r="J472" s="340">
        <f t="shared" si="194"/>
        <v>1.5707937984457188</v>
      </c>
      <c r="K472" s="348">
        <f t="shared" si="210"/>
        <v>9.1391506943580723</v>
      </c>
      <c r="L472" s="349">
        <f t="shared" si="211"/>
        <v>1.4611574452260507</v>
      </c>
      <c r="M472" s="337">
        <f t="shared" si="195"/>
        <v>1.0014397941218747</v>
      </c>
      <c r="N472" s="340">
        <f t="shared" si="196"/>
        <v>5.3629632401236249E-2</v>
      </c>
      <c r="O472" s="341">
        <f t="shared" si="197"/>
        <v>1.0005833377707167</v>
      </c>
      <c r="P472" s="342">
        <f t="shared" si="198"/>
        <v>8.1133361744504376E-2</v>
      </c>
      <c r="Q472" s="343">
        <f t="shared" si="199"/>
        <v>-2.7990730328545737</v>
      </c>
      <c r="R472" s="344">
        <f t="shared" si="200"/>
        <v>-55.12642317681378</v>
      </c>
      <c r="S472" s="346">
        <f t="shared" si="201"/>
        <v>124.87357682318623</v>
      </c>
      <c r="U472" s="319">
        <f t="shared" si="207"/>
        <v>54641.25</v>
      </c>
      <c r="V472" s="319">
        <f t="shared" si="208"/>
        <v>2985666201.5625</v>
      </c>
      <c r="X472" s="345">
        <f t="shared" si="202"/>
        <v>4.9695853112605999</v>
      </c>
      <c r="Y472" s="346">
        <f t="shared" si="203"/>
        <v>-9.3544519248104159</v>
      </c>
      <c r="AA472" s="345">
        <f t="shared" si="204"/>
        <v>30.449308669231087</v>
      </c>
      <c r="AB472" s="346">
        <f t="shared" si="205"/>
        <v>-45.771971252003361</v>
      </c>
      <c r="AD472">
        <f t="shared" si="209"/>
        <v>0</v>
      </c>
      <c r="AE472">
        <f t="shared" si="186"/>
        <v>0</v>
      </c>
    </row>
    <row r="473" spans="1:31" x14ac:dyDescent="0.2">
      <c r="A473" s="347">
        <v>54954</v>
      </c>
      <c r="B473" s="364">
        <f t="shared" si="206"/>
        <v>54.954000000000001</v>
      </c>
      <c r="C473" s="337">
        <f t="shared" si="187"/>
        <v>1.3345843478851578</v>
      </c>
      <c r="D473" s="338">
        <f t="shared" si="188"/>
        <v>0.72379649889027398</v>
      </c>
      <c r="E473" s="338">
        <f t="shared" si="189"/>
        <v>1.0000052672377564</v>
      </c>
      <c r="F473" s="339">
        <f t="shared" si="190"/>
        <v>3.2456785536045325E-3</v>
      </c>
      <c r="G473" s="338">
        <f t="shared" si="191"/>
        <v>1</v>
      </c>
      <c r="H473" s="339">
        <f t="shared" si="192"/>
        <v>0</v>
      </c>
      <c r="I473" s="337">
        <f t="shared" si="193"/>
        <v>397778.79832576471</v>
      </c>
      <c r="J473" s="340">
        <f t="shared" si="194"/>
        <v>1.570793812834866</v>
      </c>
      <c r="K473" s="348">
        <f t="shared" si="210"/>
        <v>9.1908359082556483</v>
      </c>
      <c r="L473" s="349">
        <f t="shared" si="211"/>
        <v>1.4617764673956126</v>
      </c>
      <c r="M473" s="337">
        <f t="shared" si="195"/>
        <v>1.0014563111650043</v>
      </c>
      <c r="N473" s="340">
        <f t="shared" si="196"/>
        <v>5.3935998925724253E-2</v>
      </c>
      <c r="O473" s="341">
        <f t="shared" si="197"/>
        <v>1.0005900751593313</v>
      </c>
      <c r="P473" s="342">
        <f t="shared" si="198"/>
        <v>8.1598224389575064E-2</v>
      </c>
      <c r="Q473" s="343">
        <f t="shared" si="199"/>
        <v>-2.8215355495814807</v>
      </c>
      <c r="R473" s="344">
        <f t="shared" si="200"/>
        <v>-55.296293756104866</v>
      </c>
      <c r="S473" s="346">
        <f t="shared" si="201"/>
        <v>124.70370624389514</v>
      </c>
      <c r="U473" s="319">
        <f t="shared" si="207"/>
        <v>54954</v>
      </c>
      <c r="V473" s="319">
        <f t="shared" si="208"/>
        <v>3019942116</v>
      </c>
      <c r="X473" s="345">
        <f t="shared" si="202"/>
        <v>4.9688518625022713</v>
      </c>
      <c r="Y473" s="346">
        <f t="shared" si="203"/>
        <v>-9.3365389003236796</v>
      </c>
      <c r="AA473" s="345">
        <f t="shared" si="204"/>
        <v>30.427579601262504</v>
      </c>
      <c r="AB473" s="346">
        <f t="shared" si="205"/>
        <v>-45.959754855781185</v>
      </c>
      <c r="AD473">
        <f t="shared" si="209"/>
        <v>0</v>
      </c>
      <c r="AE473">
        <f t="shared" si="186"/>
        <v>0</v>
      </c>
    </row>
    <row r="474" spans="1:31" x14ac:dyDescent="0.2">
      <c r="A474" s="347">
        <v>55274</v>
      </c>
      <c r="B474" s="364">
        <f t="shared" si="206"/>
        <v>55.274000000000001</v>
      </c>
      <c r="C474" s="337">
        <f t="shared" si="187"/>
        <v>1.3379980637545326</v>
      </c>
      <c r="D474" s="338">
        <f t="shared" si="188"/>
        <v>0.7266785876594356</v>
      </c>
      <c r="E474" s="338">
        <f t="shared" si="189"/>
        <v>1.0000053287589925</v>
      </c>
      <c r="F474" s="339">
        <f t="shared" si="190"/>
        <v>3.2645781747272038E-3</v>
      </c>
      <c r="G474" s="338">
        <f t="shared" si="191"/>
        <v>1</v>
      </c>
      <c r="H474" s="339">
        <f t="shared" si="192"/>
        <v>0</v>
      </c>
      <c r="I474" s="337">
        <f t="shared" si="193"/>
        <v>400095.08495573601</v>
      </c>
      <c r="J474" s="340">
        <f t="shared" si="194"/>
        <v>1.5707938273890363</v>
      </c>
      <c r="K474" s="348">
        <f t="shared" si="210"/>
        <v>9.2437228645976557</v>
      </c>
      <c r="L474" s="349">
        <f t="shared" si="211"/>
        <v>1.4624026742046896</v>
      </c>
      <c r="M474" s="337">
        <f t="shared" si="195"/>
        <v>1.0014733083848504</v>
      </c>
      <c r="N474" s="340">
        <f t="shared" si="196"/>
        <v>5.4249456981980637E-2</v>
      </c>
      <c r="O474" s="341">
        <f t="shared" si="197"/>
        <v>1.000597009491722</v>
      </c>
      <c r="P474" s="342">
        <f t="shared" si="198"/>
        <v>8.2073871689333236E-2</v>
      </c>
      <c r="Q474" s="343">
        <f t="shared" si="199"/>
        <v>-2.8445254013433514</v>
      </c>
      <c r="R474" s="344">
        <f t="shared" si="200"/>
        <v>-55.469676643554173</v>
      </c>
      <c r="S474" s="346">
        <f t="shared" si="201"/>
        <v>124.53032335644582</v>
      </c>
      <c r="U474" s="319">
        <f t="shared" si="207"/>
        <v>55274</v>
      </c>
      <c r="V474" s="319">
        <f t="shared" si="208"/>
        <v>3055215076</v>
      </c>
      <c r="X474" s="345">
        <f t="shared" si="202"/>
        <v>4.9681108285381921</v>
      </c>
      <c r="Y474" s="346">
        <f t="shared" si="203"/>
        <v>-9.3186205506111435</v>
      </c>
      <c r="AA474" s="345">
        <f t="shared" si="204"/>
        <v>30.405330783464713</v>
      </c>
      <c r="AB474" s="346">
        <f t="shared" si="205"/>
        <v>-46.151056092943008</v>
      </c>
      <c r="AD474">
        <f t="shared" si="209"/>
        <v>0</v>
      </c>
      <c r="AE474">
        <f t="shared" ref="AE474:AE537" si="212">IF(AD474&gt;0,S474,0)</f>
        <v>0</v>
      </c>
    </row>
    <row r="475" spans="1:31" x14ac:dyDescent="0.2">
      <c r="A475" s="347">
        <v>55594</v>
      </c>
      <c r="B475" s="364">
        <f t="shared" si="206"/>
        <v>55.594000000000001</v>
      </c>
      <c r="C475" s="337">
        <f t="shared" si="187"/>
        <v>1.3414228369982286</v>
      </c>
      <c r="D475" s="338">
        <f t="shared" si="188"/>
        <v>0.72954598368125323</v>
      </c>
      <c r="E475" s="338">
        <f t="shared" si="189"/>
        <v>1.000005390637426</v>
      </c>
      <c r="F475" s="339">
        <f t="shared" si="190"/>
        <v>3.2834777935176799E-3</v>
      </c>
      <c r="G475" s="338">
        <f t="shared" si="191"/>
        <v>1</v>
      </c>
      <c r="H475" s="339">
        <f t="shared" si="192"/>
        <v>0</v>
      </c>
      <c r="I475" s="337">
        <f t="shared" si="193"/>
        <v>402411.37158570735</v>
      </c>
      <c r="J475" s="340">
        <f t="shared" si="194"/>
        <v>1.5707938417756586</v>
      </c>
      <c r="K475" s="348">
        <f t="shared" si="210"/>
        <v>9.296613404484134</v>
      </c>
      <c r="L475" s="349">
        <f t="shared" si="211"/>
        <v>1.4630217559894148</v>
      </c>
      <c r="M475" s="337">
        <f t="shared" si="195"/>
        <v>1.0014904040020649</v>
      </c>
      <c r="N475" s="340">
        <f t="shared" si="196"/>
        <v>5.4562904367465997E-2</v>
      </c>
      <c r="O475" s="341">
        <f t="shared" si="197"/>
        <v>1.0006039850692923</v>
      </c>
      <c r="P475" s="342">
        <f t="shared" si="198"/>
        <v>8.2549527596584585E-2</v>
      </c>
      <c r="Q475" s="343">
        <f t="shared" si="199"/>
        <v>-2.8675213743253285</v>
      </c>
      <c r="R475" s="344">
        <f t="shared" si="200"/>
        <v>-55.642625804731665</v>
      </c>
      <c r="S475" s="346">
        <f t="shared" si="201"/>
        <v>124.35737419526833</v>
      </c>
      <c r="U475" s="319">
        <f t="shared" si="207"/>
        <v>55594</v>
      </c>
      <c r="V475" s="319">
        <f t="shared" si="208"/>
        <v>3090692836</v>
      </c>
      <c r="X475" s="345">
        <f t="shared" si="202"/>
        <v>4.9673790856398794</v>
      </c>
      <c r="Y475" s="346">
        <f t="shared" si="203"/>
        <v>-9.3011098137334187</v>
      </c>
      <c r="AA475" s="345">
        <f t="shared" si="204"/>
        <v>30.383066553381056</v>
      </c>
      <c r="AB475" s="346">
        <f t="shared" si="205"/>
        <v>-46.341515990998268</v>
      </c>
      <c r="AD475">
        <f t="shared" si="209"/>
        <v>0</v>
      </c>
      <c r="AE475">
        <f t="shared" si="212"/>
        <v>0</v>
      </c>
    </row>
    <row r="476" spans="1:31" x14ac:dyDescent="0.2">
      <c r="A476" s="347">
        <v>55914</v>
      </c>
      <c r="B476" s="364">
        <f t="shared" si="206"/>
        <v>55.914000000000001</v>
      </c>
      <c r="C476" s="337">
        <f t="shared" si="187"/>
        <v>1.3448585831411961</v>
      </c>
      <c r="D476" s="338">
        <f t="shared" si="188"/>
        <v>0.73239875223238715</v>
      </c>
      <c r="E476" s="338">
        <f t="shared" si="189"/>
        <v>1.0000054528730569</v>
      </c>
      <c r="F476" s="339">
        <f t="shared" si="190"/>
        <v>3.3023774099624607E-3</v>
      </c>
      <c r="G476" s="338">
        <f t="shared" si="191"/>
        <v>1</v>
      </c>
      <c r="H476" s="339">
        <f t="shared" si="192"/>
        <v>0</v>
      </c>
      <c r="I476" s="337">
        <f t="shared" si="193"/>
        <v>404727.65821567882</v>
      </c>
      <c r="J476" s="340">
        <f t="shared" si="194"/>
        <v>1.5707938559976093</v>
      </c>
      <c r="K476" s="348">
        <f t="shared" si="210"/>
        <v>9.3495074670983147</v>
      </c>
      <c r="L476" s="349">
        <f t="shared" si="211"/>
        <v>1.4636338331988754</v>
      </c>
      <c r="M476" s="337">
        <f t="shared" si="195"/>
        <v>1.0015075980116093</v>
      </c>
      <c r="N476" s="340">
        <f t="shared" si="196"/>
        <v>5.4876341021136421E-2</v>
      </c>
      <c r="O476" s="341">
        <f t="shared" si="197"/>
        <v>1.0006110019091017</v>
      </c>
      <c r="P476" s="342">
        <f t="shared" si="198"/>
        <v>8.3025192159932718E-2</v>
      </c>
      <c r="Q476" s="343">
        <f t="shared" si="199"/>
        <v>-2.8905228926968434</v>
      </c>
      <c r="R476" s="344">
        <f t="shared" si="200"/>
        <v>-55.815138077943011</v>
      </c>
      <c r="S476" s="346">
        <f t="shared" si="201"/>
        <v>124.184861922057</v>
      </c>
      <c r="U476" s="319">
        <f t="shared" si="207"/>
        <v>55914</v>
      </c>
      <c r="V476" s="319">
        <f t="shared" si="208"/>
        <v>3126375396</v>
      </c>
      <c r="X476" s="345">
        <f t="shared" si="202"/>
        <v>4.9666564046036585</v>
      </c>
      <c r="Y476" s="346">
        <f t="shared" si="203"/>
        <v>-9.2839997851333944</v>
      </c>
      <c r="AA476" s="345">
        <f t="shared" si="204"/>
        <v>30.360787716045756</v>
      </c>
      <c r="AB476" s="346">
        <f t="shared" si="205"/>
        <v>-46.531138292809644</v>
      </c>
      <c r="AD476">
        <f t="shared" si="209"/>
        <v>0</v>
      </c>
      <c r="AE476">
        <f t="shared" si="212"/>
        <v>0</v>
      </c>
    </row>
    <row r="477" spans="1:31" x14ac:dyDescent="0.2">
      <c r="A477" s="347">
        <v>56234</v>
      </c>
      <c r="B477" s="364">
        <f t="shared" si="206"/>
        <v>56.234000000000002</v>
      </c>
      <c r="C477" s="337">
        <f t="shared" si="187"/>
        <v>1.3483052183001394</v>
      </c>
      <c r="D477" s="338">
        <f t="shared" si="188"/>
        <v>0.73523695887756402</v>
      </c>
      <c r="E477" s="338">
        <f t="shared" si="189"/>
        <v>1.0000055154658853</v>
      </c>
      <c r="F477" s="339">
        <f t="shared" si="190"/>
        <v>3.321277024048044E-3</v>
      </c>
      <c r="G477" s="338">
        <f t="shared" si="191"/>
        <v>1</v>
      </c>
      <c r="H477" s="339">
        <f t="shared" si="192"/>
        <v>0</v>
      </c>
      <c r="I477" s="337">
        <f t="shared" si="193"/>
        <v>407043.94484565035</v>
      </c>
      <c r="J477" s="340">
        <f t="shared" si="194"/>
        <v>1.5707938700577</v>
      </c>
      <c r="K477" s="348">
        <f t="shared" si="210"/>
        <v>9.4024049929879485</v>
      </c>
      <c r="L477" s="349">
        <f t="shared" si="211"/>
        <v>1.4642390235928593</v>
      </c>
      <c r="M477" s="337">
        <f t="shared" si="195"/>
        <v>1.001524890408416</v>
      </c>
      <c r="N477" s="340">
        <f t="shared" si="196"/>
        <v>5.5189766881960589E-2</v>
      </c>
      <c r="O477" s="341">
        <f t="shared" si="197"/>
        <v>1.0006180600283077</v>
      </c>
      <c r="P477" s="342">
        <f t="shared" si="198"/>
        <v>8.3500865427959911E-2</v>
      </c>
      <c r="Q477" s="343">
        <f t="shared" si="199"/>
        <v>-2.913529385206667</v>
      </c>
      <c r="R477" s="344">
        <f t="shared" si="200"/>
        <v>-55.987210472080108</v>
      </c>
      <c r="S477" s="346">
        <f t="shared" si="201"/>
        <v>124.01278952791989</v>
      </c>
      <c r="U477" s="319">
        <f t="shared" si="207"/>
        <v>56234</v>
      </c>
      <c r="V477" s="319">
        <f t="shared" si="208"/>
        <v>3162262756</v>
      </c>
      <c r="X477" s="345">
        <f t="shared" si="202"/>
        <v>4.9659425626576352</v>
      </c>
      <c r="Y477" s="346">
        <f t="shared" si="203"/>
        <v>-9.2672837143364912</v>
      </c>
      <c r="AA477" s="345">
        <f t="shared" si="204"/>
        <v>30.338495065481965</v>
      </c>
      <c r="AB477" s="346">
        <f t="shared" si="205"/>
        <v>-46.7199267577436</v>
      </c>
      <c r="AD477">
        <f t="shared" si="209"/>
        <v>0</v>
      </c>
      <c r="AE477">
        <f t="shared" si="212"/>
        <v>0</v>
      </c>
    </row>
    <row r="478" spans="1:31" x14ac:dyDescent="0.2">
      <c r="A478" s="347">
        <v>56561.5</v>
      </c>
      <c r="B478" s="364">
        <f t="shared" si="206"/>
        <v>56.561500000000002</v>
      </c>
      <c r="C478" s="337">
        <f t="shared" si="187"/>
        <v>1.3518438218807547</v>
      </c>
      <c r="D478" s="338">
        <f t="shared" si="188"/>
        <v>0.73812667684575139</v>
      </c>
      <c r="E478" s="338">
        <f t="shared" si="189"/>
        <v>1.0000055798955865</v>
      </c>
      <c r="F478" s="339">
        <f t="shared" si="190"/>
        <v>3.3406195953818844E-3</v>
      </c>
      <c r="G478" s="338">
        <f t="shared" si="191"/>
        <v>1</v>
      </c>
      <c r="H478" s="339">
        <f t="shared" si="192"/>
        <v>0</v>
      </c>
      <c r="I478" s="337">
        <f t="shared" si="193"/>
        <v>409414.51944351196</v>
      </c>
      <c r="J478" s="340">
        <f t="shared" si="194"/>
        <v>1.5707938842825955</v>
      </c>
      <c r="K478" s="348">
        <f t="shared" si="210"/>
        <v>9.4565458299756724</v>
      </c>
      <c r="L478" s="349">
        <f t="shared" si="211"/>
        <v>1.4648513874554299</v>
      </c>
      <c r="M478" s="337">
        <f t="shared" si="195"/>
        <v>1.0015426899636666</v>
      </c>
      <c r="N478" s="340">
        <f t="shared" si="196"/>
        <v>5.5510527422477141E-2</v>
      </c>
      <c r="O478" s="341">
        <f t="shared" si="197"/>
        <v>1.0006253263321518</v>
      </c>
      <c r="P478" s="342">
        <f t="shared" si="198"/>
        <v>8.3987696351974367E-2</v>
      </c>
      <c r="Q478" s="343">
        <f t="shared" si="199"/>
        <v>-2.937079651593022</v>
      </c>
      <c r="R478" s="344">
        <f t="shared" si="200"/>
        <v>-56.162857400801983</v>
      </c>
      <c r="S478" s="346">
        <f t="shared" si="201"/>
        <v>123.83714259919802</v>
      </c>
      <c r="U478" s="319">
        <f t="shared" si="207"/>
        <v>56561.5</v>
      </c>
      <c r="V478" s="319">
        <f t="shared" si="208"/>
        <v>3199203282.25</v>
      </c>
      <c r="X478" s="345">
        <f t="shared" si="202"/>
        <v>4.9652209163656869</v>
      </c>
      <c r="Y478" s="346">
        <f t="shared" si="203"/>
        <v>-9.250576889698193</v>
      </c>
      <c r="AA478" s="345">
        <f t="shared" si="204"/>
        <v>30.315666445387556</v>
      </c>
      <c r="AB478" s="346">
        <f t="shared" si="205"/>
        <v>-46.912280511103781</v>
      </c>
      <c r="AD478">
        <f t="shared" si="209"/>
        <v>0</v>
      </c>
      <c r="AE478">
        <f t="shared" si="212"/>
        <v>0</v>
      </c>
    </row>
    <row r="479" spans="1:31" x14ac:dyDescent="0.2">
      <c r="A479" s="347">
        <v>56889</v>
      </c>
      <c r="B479" s="364">
        <f t="shared" si="206"/>
        <v>56.889000000000003</v>
      </c>
      <c r="C479" s="337">
        <f t="shared" si="187"/>
        <v>1.3553936549945147</v>
      </c>
      <c r="D479" s="338">
        <f t="shared" si="188"/>
        <v>0.74100128212739469</v>
      </c>
      <c r="E479" s="338">
        <f t="shared" si="189"/>
        <v>1.0000056446994245</v>
      </c>
      <c r="F479" s="339">
        <f t="shared" si="190"/>
        <v>3.3599621642160294E-3</v>
      </c>
      <c r="G479" s="338">
        <f t="shared" si="191"/>
        <v>1</v>
      </c>
      <c r="H479" s="339">
        <f t="shared" si="192"/>
        <v>0</v>
      </c>
      <c r="I479" s="337">
        <f t="shared" si="193"/>
        <v>411785.09404137358</v>
      </c>
      <c r="J479" s="340">
        <f t="shared" si="194"/>
        <v>1.5707938983437106</v>
      </c>
      <c r="K479" s="348">
        <f t="shared" si="210"/>
        <v>9.5106901726946944</v>
      </c>
      <c r="L479" s="349">
        <f t="shared" si="211"/>
        <v>1.4654567791700439</v>
      </c>
      <c r="M479" s="337">
        <f t="shared" si="195"/>
        <v>1.001560592561296</v>
      </c>
      <c r="N479" s="340">
        <f t="shared" si="196"/>
        <v>5.5831276528995256E-2</v>
      </c>
      <c r="O479" s="341">
        <f t="shared" si="197"/>
        <v>1.0006326359097162</v>
      </c>
      <c r="P479" s="342">
        <f t="shared" si="198"/>
        <v>8.4474536496377733E-2</v>
      </c>
      <c r="Q479" s="343">
        <f t="shared" si="199"/>
        <v>-2.9606339325463327</v>
      </c>
      <c r="R479" s="344">
        <f t="shared" si="200"/>
        <v>-56.338037774948084</v>
      </c>
      <c r="S479" s="346">
        <f t="shared" si="201"/>
        <v>123.66196222505192</v>
      </c>
      <c r="U479" s="319">
        <f t="shared" si="207"/>
        <v>56889</v>
      </c>
      <c r="V479" s="319">
        <f t="shared" si="208"/>
        <v>3236358321</v>
      </c>
      <c r="X479" s="345">
        <f t="shared" si="202"/>
        <v>4.9645080759264388</v>
      </c>
      <c r="Y479" s="346">
        <f t="shared" si="203"/>
        <v>-9.2342688752086133</v>
      </c>
      <c r="AA479" s="345">
        <f t="shared" si="204"/>
        <v>30.292825004873492</v>
      </c>
      <c r="AB479" s="346">
        <f t="shared" si="205"/>
        <v>-47.103768899739471</v>
      </c>
      <c r="AD479">
        <f t="shared" si="209"/>
        <v>0</v>
      </c>
      <c r="AE479">
        <f t="shared" si="212"/>
        <v>0</v>
      </c>
    </row>
    <row r="480" spans="1:31" x14ac:dyDescent="0.2">
      <c r="A480" s="347">
        <v>57216.5</v>
      </c>
      <c r="B480" s="364">
        <f t="shared" si="206"/>
        <v>57.216500000000003</v>
      </c>
      <c r="C480" s="337">
        <f t="shared" si="187"/>
        <v>1.3589546296407617</v>
      </c>
      <c r="D480" s="338">
        <f t="shared" si="188"/>
        <v>0.74386084583151968</v>
      </c>
      <c r="E480" s="338">
        <f t="shared" si="189"/>
        <v>1.0000057098773998</v>
      </c>
      <c r="F480" s="339">
        <f t="shared" si="190"/>
        <v>3.3793047305360068E-3</v>
      </c>
      <c r="G480" s="338">
        <f t="shared" si="191"/>
        <v>1</v>
      </c>
      <c r="H480" s="339">
        <f t="shared" si="192"/>
        <v>0</v>
      </c>
      <c r="I480" s="337">
        <f t="shared" si="193"/>
        <v>414155.66863923537</v>
      </c>
      <c r="J480" s="340">
        <f t="shared" si="194"/>
        <v>1.5707939122438577</v>
      </c>
      <c r="K480" s="348">
        <f t="shared" si="210"/>
        <v>9.564837961609598</v>
      </c>
      <c r="L480" s="349">
        <f t="shared" si="211"/>
        <v>1.4660553166998422</v>
      </c>
      <c r="M480" s="337">
        <f t="shared" si="195"/>
        <v>1.001578598195779</v>
      </c>
      <c r="N480" s="340">
        <f t="shared" si="196"/>
        <v>5.6152014136132508E-2</v>
      </c>
      <c r="O480" s="341">
        <f t="shared" si="197"/>
        <v>1.0006399887797115</v>
      </c>
      <c r="P480" s="342">
        <f t="shared" si="198"/>
        <v>8.4961385913178922E-2</v>
      </c>
      <c r="Q480" s="343">
        <f t="shared" si="199"/>
        <v>-2.9841916314149537</v>
      </c>
      <c r="R480" s="344">
        <f t="shared" si="200"/>
        <v>-56.512748909371169</v>
      </c>
      <c r="S480" s="346">
        <f t="shared" si="201"/>
        <v>123.48725109062883</v>
      </c>
      <c r="U480" s="319">
        <f t="shared" si="207"/>
        <v>57216.5</v>
      </c>
      <c r="V480" s="319">
        <f t="shared" si="208"/>
        <v>3273727872.25</v>
      </c>
      <c r="X480" s="345">
        <f t="shared" si="202"/>
        <v>4.9638038220857919</v>
      </c>
      <c r="Y480" s="346">
        <f t="shared" si="203"/>
        <v>-9.2183529084926459</v>
      </c>
      <c r="AA480" s="345">
        <f t="shared" si="204"/>
        <v>30.269971559845516</v>
      </c>
      <c r="AB480" s="346">
        <f t="shared" si="205"/>
        <v>-47.294396000878486</v>
      </c>
      <c r="AD480">
        <f t="shared" si="209"/>
        <v>0</v>
      </c>
      <c r="AE480">
        <f t="shared" si="212"/>
        <v>0</v>
      </c>
    </row>
    <row r="481" spans="1:31" x14ac:dyDescent="0.2">
      <c r="A481" s="347">
        <v>57544</v>
      </c>
      <c r="B481" s="364">
        <f t="shared" si="206"/>
        <v>57.543999999999997</v>
      </c>
      <c r="C481" s="337">
        <f t="shared" si="187"/>
        <v>1.3625266584640376</v>
      </c>
      <c r="D481" s="338">
        <f t="shared" si="188"/>
        <v>0.7467054393089283</v>
      </c>
      <c r="E481" s="338">
        <f t="shared" si="189"/>
        <v>1.0000057754295117</v>
      </c>
      <c r="F481" s="339">
        <f t="shared" si="190"/>
        <v>3.3986472943273436E-3</v>
      </c>
      <c r="G481" s="338">
        <f t="shared" si="191"/>
        <v>1</v>
      </c>
      <c r="H481" s="339">
        <f t="shared" si="192"/>
        <v>0</v>
      </c>
      <c r="I481" s="337">
        <f t="shared" si="193"/>
        <v>416526.24323709722</v>
      </c>
      <c r="J481" s="340">
        <f t="shared" si="194"/>
        <v>1.570793925985785</v>
      </c>
      <c r="K481" s="348">
        <f t="shared" si="210"/>
        <v>9.6189891385217923</v>
      </c>
      <c r="L481" s="349">
        <f t="shared" si="211"/>
        <v>1.4666471153715168</v>
      </c>
      <c r="M481" s="337">
        <f t="shared" si="195"/>
        <v>1.0015967068615583</v>
      </c>
      <c r="N481" s="340">
        <f t="shared" si="196"/>
        <v>5.6472740178520636E-2</v>
      </c>
      <c r="O481" s="341">
        <f t="shared" si="197"/>
        <v>1.0006473849609554</v>
      </c>
      <c r="P481" s="342">
        <f t="shared" si="198"/>
        <v>8.5448244654362973E-2</v>
      </c>
      <c r="Q481" s="343">
        <f t="shared" si="199"/>
        <v>-3.0077521570885852</v>
      </c>
      <c r="R481" s="344">
        <f t="shared" si="200"/>
        <v>-56.686988283829692</v>
      </c>
      <c r="S481" s="346">
        <f t="shared" si="201"/>
        <v>123.31301171617031</v>
      </c>
      <c r="U481" s="319">
        <f t="shared" si="207"/>
        <v>57544</v>
      </c>
      <c r="V481" s="319">
        <f t="shared" si="208"/>
        <v>3311311936</v>
      </c>
      <c r="X481" s="345">
        <f t="shared" si="202"/>
        <v>4.9631079417466415</v>
      </c>
      <c r="Y481" s="346">
        <f t="shared" si="203"/>
        <v>-9.2028223782297101</v>
      </c>
      <c r="AA481" s="345">
        <f t="shared" si="204"/>
        <v>30.247106914511033</v>
      </c>
      <c r="AB481" s="346">
        <f t="shared" si="205"/>
        <v>-47.48416590559998</v>
      </c>
      <c r="AD481">
        <f t="shared" si="209"/>
        <v>0</v>
      </c>
      <c r="AE481">
        <f t="shared" si="212"/>
        <v>0</v>
      </c>
    </row>
    <row r="482" spans="1:31" x14ac:dyDescent="0.2">
      <c r="A482" s="347">
        <v>57879</v>
      </c>
      <c r="B482" s="364">
        <f t="shared" si="206"/>
        <v>57.878999999999998</v>
      </c>
      <c r="C482" s="337">
        <f t="shared" si="187"/>
        <v>1.366191835879482</v>
      </c>
      <c r="D482" s="338">
        <f t="shared" si="188"/>
        <v>0.74959976237051762</v>
      </c>
      <c r="E482" s="338">
        <f t="shared" si="189"/>
        <v>1.0000058428699043</v>
      </c>
      <c r="F482" s="339">
        <f t="shared" si="190"/>
        <v>3.418432814963564E-3</v>
      </c>
      <c r="G482" s="338">
        <f t="shared" si="191"/>
        <v>1</v>
      </c>
      <c r="H482" s="339">
        <f t="shared" si="192"/>
        <v>0</v>
      </c>
      <c r="I482" s="337">
        <f t="shared" si="193"/>
        <v>418951.10580284911</v>
      </c>
      <c r="J482" s="340">
        <f t="shared" si="194"/>
        <v>1.5707939398815167</v>
      </c>
      <c r="K482" s="348">
        <f t="shared" si="210"/>
        <v>9.674383864679081</v>
      </c>
      <c r="L482" s="349">
        <f t="shared" si="211"/>
        <v>1.4672456121137878</v>
      </c>
      <c r="M482" s="337">
        <f t="shared" si="195"/>
        <v>1.0016153368213379</v>
      </c>
      <c r="N482" s="340">
        <f t="shared" si="196"/>
        <v>5.6800799058932212E-2</v>
      </c>
      <c r="O482" s="341">
        <f t="shared" si="197"/>
        <v>1.0006549953505228</v>
      </c>
      <c r="P482" s="342">
        <f t="shared" si="198"/>
        <v>8.5946262533668938E-2</v>
      </c>
      <c r="Q482" s="343">
        <f t="shared" si="199"/>
        <v>-3.0318545511188137</v>
      </c>
      <c r="R482" s="344">
        <f t="shared" si="200"/>
        <v>-56.864727323849309</v>
      </c>
      <c r="S482" s="346">
        <f t="shared" si="201"/>
        <v>123.13527267615069</v>
      </c>
      <c r="U482" s="319">
        <f t="shared" si="207"/>
        <v>57879</v>
      </c>
      <c r="V482" s="319">
        <f t="shared" si="208"/>
        <v>3349978641</v>
      </c>
      <c r="X482" s="345">
        <f t="shared" si="202"/>
        <v>4.9624045726356902</v>
      </c>
      <c r="Y482" s="346">
        <f t="shared" si="203"/>
        <v>-9.1873282262737082</v>
      </c>
      <c r="AA482" s="345">
        <f t="shared" si="204"/>
        <v>30.223707889591761</v>
      </c>
      <c r="AB482" s="346">
        <f t="shared" si="205"/>
        <v>-47.677399097575595</v>
      </c>
      <c r="AD482">
        <f t="shared" si="209"/>
        <v>0</v>
      </c>
      <c r="AE482">
        <f t="shared" si="212"/>
        <v>0</v>
      </c>
    </row>
    <row r="483" spans="1:31" x14ac:dyDescent="0.2">
      <c r="A483" s="347">
        <v>58214</v>
      </c>
      <c r="B483" s="364">
        <f t="shared" si="206"/>
        <v>58.213999999999999</v>
      </c>
      <c r="C483" s="337">
        <f t="shared" si="187"/>
        <v>1.3698683967306275</v>
      </c>
      <c r="D483" s="338">
        <f t="shared" si="188"/>
        <v>0.75247857341556001</v>
      </c>
      <c r="E483" s="338">
        <f t="shared" si="189"/>
        <v>1.000005910701766</v>
      </c>
      <c r="F483" s="339">
        <f t="shared" si="190"/>
        <v>3.4382183329233684E-3</v>
      </c>
      <c r="G483" s="338">
        <f t="shared" si="191"/>
        <v>1</v>
      </c>
      <c r="H483" s="339">
        <f t="shared" si="192"/>
        <v>0</v>
      </c>
      <c r="I483" s="337">
        <f t="shared" si="193"/>
        <v>421375.96836860105</v>
      </c>
      <c r="J483" s="340">
        <f t="shared" si="194"/>
        <v>1.5707939536173188</v>
      </c>
      <c r="K483" s="348">
        <f t="shared" si="210"/>
        <v>9.7297820167253484</v>
      </c>
      <c r="L483" s="349">
        <f t="shared" si="211"/>
        <v>1.4678372937820581</v>
      </c>
      <c r="M483" s="337">
        <f t="shared" si="195"/>
        <v>1.0016340745735768</v>
      </c>
      <c r="N483" s="340">
        <f t="shared" si="196"/>
        <v>5.7128845700532706E-2</v>
      </c>
      <c r="O483" s="341">
        <f t="shared" si="197"/>
        <v>1.0006626510979482</v>
      </c>
      <c r="P483" s="342">
        <f t="shared" si="198"/>
        <v>8.6444290279273972E-2</v>
      </c>
      <c r="Q483" s="343">
        <f t="shared" si="199"/>
        <v>-3.0559586699558139</v>
      </c>
      <c r="R483" s="344">
        <f t="shared" si="200"/>
        <v>-57.041967920820916</v>
      </c>
      <c r="S483" s="346">
        <f t="shared" si="201"/>
        <v>122.95803207917908</v>
      </c>
      <c r="U483" s="319">
        <f t="shared" si="207"/>
        <v>58214</v>
      </c>
      <c r="V483" s="319">
        <f t="shared" si="208"/>
        <v>3388869796</v>
      </c>
      <c r="X483" s="345">
        <f t="shared" si="202"/>
        <v>4.9617095327379452</v>
      </c>
      <c r="Y483" s="346">
        <f t="shared" si="203"/>
        <v>-9.1722238388999369</v>
      </c>
      <c r="AA483" s="345">
        <f t="shared" si="204"/>
        <v>30.200298810652502</v>
      </c>
      <c r="AB483" s="346">
        <f t="shared" si="205"/>
        <v>-47.869744081920963</v>
      </c>
      <c r="AD483">
        <f t="shared" si="209"/>
        <v>0</v>
      </c>
      <c r="AE483">
        <f t="shared" si="212"/>
        <v>0</v>
      </c>
    </row>
    <row r="484" spans="1:31" x14ac:dyDescent="0.2">
      <c r="A484" s="347">
        <v>58549</v>
      </c>
      <c r="B484" s="364">
        <f t="shared" si="206"/>
        <v>58.548999999999999</v>
      </c>
      <c r="C484" s="337">
        <f t="shared" si="187"/>
        <v>1.3735562496082745</v>
      </c>
      <c r="D484" s="338">
        <f t="shared" si="188"/>
        <v>0.75534194948028299</v>
      </c>
      <c r="E484" s="338">
        <f t="shared" si="189"/>
        <v>1.0000059789250966</v>
      </c>
      <c r="F484" s="339">
        <f t="shared" si="190"/>
        <v>3.4580038481912662E-3</v>
      </c>
      <c r="G484" s="338">
        <f t="shared" si="191"/>
        <v>1</v>
      </c>
      <c r="H484" s="339">
        <f t="shared" si="192"/>
        <v>0</v>
      </c>
      <c r="I484" s="337">
        <f t="shared" si="193"/>
        <v>423800.83093435306</v>
      </c>
      <c r="J484" s="340">
        <f t="shared" si="194"/>
        <v>1.5707939671959363</v>
      </c>
      <c r="K484" s="348">
        <f t="shared" si="210"/>
        <v>9.7851835364742765</v>
      </c>
      <c r="L484" s="349">
        <f t="shared" si="211"/>
        <v>1.4684222757147611</v>
      </c>
      <c r="M484" s="337">
        <f t="shared" si="195"/>
        <v>1.0016529201122253</v>
      </c>
      <c r="N484" s="340">
        <f t="shared" si="196"/>
        <v>5.7456880033405745E-2</v>
      </c>
      <c r="O484" s="341">
        <f t="shared" si="197"/>
        <v>1.0006703522237204</v>
      </c>
      <c r="P484" s="342">
        <f t="shared" si="198"/>
        <v>8.6942327946738521E-2</v>
      </c>
      <c r="Q484" s="343">
        <f t="shared" si="199"/>
        <v>-3.0800638995986467</v>
      </c>
      <c r="R484" s="344">
        <f t="shared" si="200"/>
        <v>-57.218707879525383</v>
      </c>
      <c r="S484" s="346">
        <f t="shared" si="201"/>
        <v>122.78129212047462</v>
      </c>
      <c r="U484" s="319">
        <f t="shared" si="207"/>
        <v>58549</v>
      </c>
      <c r="V484" s="319">
        <f t="shared" si="208"/>
        <v>3427985401</v>
      </c>
      <c r="X484" s="345">
        <f t="shared" si="202"/>
        <v>4.9610226126592929</v>
      </c>
      <c r="Y484" s="346">
        <f t="shared" si="203"/>
        <v>-9.1575026038543061</v>
      </c>
      <c r="AA484" s="345">
        <f t="shared" si="204"/>
        <v>30.17688050108832</v>
      </c>
      <c r="AB484" s="346">
        <f t="shared" si="205"/>
        <v>-48.061205275671057</v>
      </c>
      <c r="AD484">
        <f t="shared" si="209"/>
        <v>0</v>
      </c>
      <c r="AE484">
        <f t="shared" si="212"/>
        <v>0</v>
      </c>
    </row>
    <row r="485" spans="1:31" x14ac:dyDescent="0.2">
      <c r="A485" s="347">
        <v>58884</v>
      </c>
      <c r="B485" s="364">
        <f t="shared" si="206"/>
        <v>58.884</v>
      </c>
      <c r="C485" s="337">
        <f t="shared" si="187"/>
        <v>1.3772553038030293</v>
      </c>
      <c r="D485" s="338">
        <f t="shared" si="188"/>
        <v>0.758189967789485</v>
      </c>
      <c r="E485" s="338">
        <f t="shared" si="189"/>
        <v>1.000006047539896</v>
      </c>
      <c r="F485" s="339">
        <f t="shared" si="190"/>
        <v>3.4777893607517677E-3</v>
      </c>
      <c r="G485" s="338">
        <f t="shared" si="191"/>
        <v>1</v>
      </c>
      <c r="H485" s="339">
        <f t="shared" si="192"/>
        <v>0</v>
      </c>
      <c r="I485" s="337">
        <f t="shared" si="193"/>
        <v>426225.69350010512</v>
      </c>
      <c r="J485" s="340">
        <f t="shared" si="194"/>
        <v>1.5707939806200526</v>
      </c>
      <c r="K485" s="348">
        <f t="shared" si="210"/>
        <v>9.8405883670463865</v>
      </c>
      <c r="L485" s="349">
        <f t="shared" si="211"/>
        <v>1.469000670671379</v>
      </c>
      <c r="M485" s="337">
        <f t="shared" si="195"/>
        <v>1.0016718734311998</v>
      </c>
      <c r="N485" s="340">
        <f t="shared" si="196"/>
        <v>5.7784901987650801E-2</v>
      </c>
      <c r="O485" s="341">
        <f t="shared" si="197"/>
        <v>1.0006780987484458</v>
      </c>
      <c r="P485" s="342">
        <f t="shared" si="198"/>
        <v>8.7440375591596314E-2</v>
      </c>
      <c r="Q485" s="343">
        <f t="shared" si="199"/>
        <v>-3.1041696325279196</v>
      </c>
      <c r="R485" s="344">
        <f t="shared" si="200"/>
        <v>-57.394945163306794</v>
      </c>
      <c r="S485" s="346">
        <f t="shared" si="201"/>
        <v>122.6050548366932</v>
      </c>
      <c r="U485" s="319">
        <f t="shared" si="207"/>
        <v>58884</v>
      </c>
      <c r="V485" s="319">
        <f t="shared" si="208"/>
        <v>3467325456</v>
      </c>
      <c r="X485" s="345">
        <f t="shared" si="202"/>
        <v>4.9603436088868325</v>
      </c>
      <c r="Y485" s="346">
        <f t="shared" si="203"/>
        <v>-9.1431580566431503</v>
      </c>
      <c r="AA485" s="345">
        <f t="shared" si="204"/>
        <v>30.15345377193151</v>
      </c>
      <c r="AB485" s="346">
        <f t="shared" si="205"/>
        <v>-48.251787106663656</v>
      </c>
      <c r="AD485">
        <f t="shared" si="209"/>
        <v>0</v>
      </c>
      <c r="AE485">
        <f t="shared" si="212"/>
        <v>0</v>
      </c>
    </row>
    <row r="486" spans="1:31" x14ac:dyDescent="0.2">
      <c r="A486" s="347">
        <v>59227</v>
      </c>
      <c r="B486" s="364">
        <f t="shared" si="206"/>
        <v>59.226999999999997</v>
      </c>
      <c r="C486" s="337">
        <f t="shared" si="187"/>
        <v>1.3810542053730805</v>
      </c>
      <c r="D486" s="338">
        <f t="shared" si="188"/>
        <v>0.76109016704195698</v>
      </c>
      <c r="E486" s="338">
        <f t="shared" si="189"/>
        <v>1.0000061181988611</v>
      </c>
      <c r="F486" s="339">
        <f t="shared" si="190"/>
        <v>3.4980473603431327E-3</v>
      </c>
      <c r="G486" s="338">
        <f t="shared" si="191"/>
        <v>1</v>
      </c>
      <c r="H486" s="339">
        <f t="shared" si="192"/>
        <v>0</v>
      </c>
      <c r="I486" s="337">
        <f t="shared" si="193"/>
        <v>428708.46323160664</v>
      </c>
      <c r="J486" s="340">
        <f t="shared" si="194"/>
        <v>1.5707939942074023</v>
      </c>
      <c r="K486" s="348">
        <f t="shared" si="210"/>
        <v>9.8973196703462065</v>
      </c>
      <c r="L486" s="349">
        <f t="shared" si="211"/>
        <v>1.4695861683659339</v>
      </c>
      <c r="M486" s="337">
        <f t="shared" si="195"/>
        <v>1.0016913910322036</v>
      </c>
      <c r="N486" s="340">
        <f t="shared" si="196"/>
        <v>5.8120744403441893E-2</v>
      </c>
      <c r="O486" s="341">
        <f t="shared" si="197"/>
        <v>1.0006860773245798</v>
      </c>
      <c r="P486" s="342">
        <f t="shared" si="198"/>
        <v>8.7950327307161125E-2</v>
      </c>
      <c r="Q486" s="343">
        <f t="shared" si="199"/>
        <v>-3.1288509186402154</v>
      </c>
      <c r="R486" s="344">
        <f t="shared" si="200"/>
        <v>-57.574868308296836</v>
      </c>
      <c r="S486" s="346">
        <f t="shared" si="201"/>
        <v>122.42513169170317</v>
      </c>
      <c r="U486" s="319">
        <f t="shared" si="207"/>
        <v>59227</v>
      </c>
      <c r="V486" s="319">
        <f t="shared" si="208"/>
        <v>3507837529</v>
      </c>
      <c r="X486" s="345">
        <f t="shared" si="202"/>
        <v>4.9596563856632923</v>
      </c>
      <c r="Y486" s="346">
        <f t="shared" si="203"/>
        <v>-9.1288546413182665</v>
      </c>
      <c r="AA486" s="345">
        <f t="shared" si="204"/>
        <v>30.129459709042756</v>
      </c>
      <c r="AB486" s="346">
        <f t="shared" si="205"/>
        <v>-48.446013666978587</v>
      </c>
      <c r="AD486">
        <f t="shared" si="209"/>
        <v>0</v>
      </c>
      <c r="AE486">
        <f t="shared" si="212"/>
        <v>0</v>
      </c>
    </row>
    <row r="487" spans="1:31" x14ac:dyDescent="0.2">
      <c r="A487" s="347">
        <v>59570</v>
      </c>
      <c r="B487" s="364">
        <f t="shared" si="206"/>
        <v>59.57</v>
      </c>
      <c r="C487" s="337">
        <f t="shared" si="187"/>
        <v>1.3848646594178069</v>
      </c>
      <c r="D487" s="338">
        <f t="shared" si="188"/>
        <v>0.76397443065141768</v>
      </c>
      <c r="E487" s="338">
        <f t="shared" si="189"/>
        <v>1.0000061892682151</v>
      </c>
      <c r="F487" s="339">
        <f t="shared" si="190"/>
        <v>3.5183053570633834E-3</v>
      </c>
      <c r="G487" s="338">
        <f t="shared" si="191"/>
        <v>1</v>
      </c>
      <c r="H487" s="339">
        <f t="shared" si="192"/>
        <v>0</v>
      </c>
      <c r="I487" s="337">
        <f t="shared" si="193"/>
        <v>431191.23296310822</v>
      </c>
      <c r="J487" s="340">
        <f t="shared" si="194"/>
        <v>1.5707940076382823</v>
      </c>
      <c r="K487" s="348">
        <f t="shared" si="210"/>
        <v>9.9540543278471176</v>
      </c>
      <c r="L487" s="349">
        <f t="shared" si="211"/>
        <v>1.4701649919894286</v>
      </c>
      <c r="M487" s="337">
        <f t="shared" si="195"/>
        <v>1.001711021609698</v>
      </c>
      <c r="N487" s="340">
        <f t="shared" si="196"/>
        <v>5.8456573694071097E-2</v>
      </c>
      <c r="O487" s="341">
        <f t="shared" si="197"/>
        <v>1.0006941035379635</v>
      </c>
      <c r="P487" s="342">
        <f t="shared" si="198"/>
        <v>8.8460289600080497E-2</v>
      </c>
      <c r="Q487" s="343">
        <f t="shared" si="199"/>
        <v>-3.1535314645558445</v>
      </c>
      <c r="R487" s="344">
        <f t="shared" si="200"/>
        <v>-57.754260649522678</v>
      </c>
      <c r="S487" s="346">
        <f t="shared" si="201"/>
        <v>122.24573935047732</v>
      </c>
      <c r="U487" s="319">
        <f t="shared" si="207"/>
        <v>59570</v>
      </c>
      <c r="V487" s="319">
        <f t="shared" si="208"/>
        <v>3548584900</v>
      </c>
      <c r="X487" s="345">
        <f t="shared" si="202"/>
        <v>4.9589770476107695</v>
      </c>
      <c r="Y487" s="346">
        <f t="shared" si="203"/>
        <v>-9.1149328611163085</v>
      </c>
      <c r="AA487" s="345">
        <f t="shared" si="204"/>
        <v>30.105458501179648</v>
      </c>
      <c r="AB487" s="346">
        <f t="shared" si="205"/>
        <v>-48.639327788406376</v>
      </c>
      <c r="AD487">
        <f t="shared" si="209"/>
        <v>0</v>
      </c>
      <c r="AE487">
        <f t="shared" si="212"/>
        <v>0</v>
      </c>
    </row>
    <row r="488" spans="1:31" x14ac:dyDescent="0.2">
      <c r="A488" s="347">
        <v>59913</v>
      </c>
      <c r="B488" s="364">
        <f t="shared" si="206"/>
        <v>59.912999999999997</v>
      </c>
      <c r="C488" s="337">
        <f t="shared" si="187"/>
        <v>1.388686570839784</v>
      </c>
      <c r="D488" s="338">
        <f t="shared" si="188"/>
        <v>0.7668428420052481</v>
      </c>
      <c r="E488" s="338">
        <f t="shared" si="189"/>
        <v>1.0000062607479581</v>
      </c>
      <c r="F488" s="339">
        <f t="shared" si="190"/>
        <v>3.5385633508958933E-3</v>
      </c>
      <c r="G488" s="338">
        <f t="shared" si="191"/>
        <v>1</v>
      </c>
      <c r="H488" s="339">
        <f t="shared" si="192"/>
        <v>0</v>
      </c>
      <c r="I488" s="337">
        <f t="shared" si="193"/>
        <v>433674.00269460981</v>
      </c>
      <c r="J488" s="340">
        <f t="shared" si="194"/>
        <v>1.5707940209153792</v>
      </c>
      <c r="K488" s="348">
        <f t="shared" si="210"/>
        <v>10.010792282520832</v>
      </c>
      <c r="L488" s="349">
        <f t="shared" si="211"/>
        <v>1.4707372546301456</v>
      </c>
      <c r="M488" s="337">
        <f t="shared" si="195"/>
        <v>1.0017307651570406</v>
      </c>
      <c r="N488" s="340">
        <f t="shared" si="196"/>
        <v>5.8792389784561722E-2</v>
      </c>
      <c r="O488" s="341">
        <f t="shared" si="197"/>
        <v>1.0007021774110971</v>
      </c>
      <c r="P488" s="342">
        <f t="shared" si="198"/>
        <v>8.8970262529874236E-2</v>
      </c>
      <c r="Q488" s="343">
        <f t="shared" si="199"/>
        <v>-3.1782106398086145</v>
      </c>
      <c r="R488" s="344">
        <f t="shared" si="200"/>
        <v>-57.933120484517261</v>
      </c>
      <c r="S488" s="346">
        <f t="shared" si="201"/>
        <v>122.06687951548274</v>
      </c>
      <c r="U488" s="319">
        <f t="shared" si="207"/>
        <v>59913</v>
      </c>
      <c r="V488" s="319">
        <f t="shared" si="208"/>
        <v>3589567569</v>
      </c>
      <c r="X488" s="345">
        <f t="shared" si="202"/>
        <v>4.958305394189046</v>
      </c>
      <c r="Y488" s="346">
        <f t="shared" si="203"/>
        <v>-9.1013862324140451</v>
      </c>
      <c r="AA488" s="345">
        <f t="shared" si="204"/>
        <v>30.081450979348602</v>
      </c>
      <c r="AB488" s="346">
        <f t="shared" si="205"/>
        <v>-48.831734252103232</v>
      </c>
      <c r="AD488">
        <f t="shared" si="209"/>
        <v>0</v>
      </c>
      <c r="AE488">
        <f t="shared" si="212"/>
        <v>0</v>
      </c>
    </row>
    <row r="489" spans="1:31" x14ac:dyDescent="0.2">
      <c r="A489" s="347">
        <v>60256</v>
      </c>
      <c r="B489" s="364">
        <f t="shared" si="206"/>
        <v>60.256</v>
      </c>
      <c r="C489" s="337">
        <f t="shared" si="187"/>
        <v>1.3925198453012255</v>
      </c>
      <c r="D489" s="338">
        <f t="shared" si="188"/>
        <v>0.76969548462019477</v>
      </c>
      <c r="E489" s="338">
        <f t="shared" si="189"/>
        <v>1.0000063326380899</v>
      </c>
      <c r="F489" s="339">
        <f t="shared" si="190"/>
        <v>3.5588213418240354E-3</v>
      </c>
      <c r="G489" s="338">
        <f t="shared" si="191"/>
        <v>1</v>
      </c>
      <c r="H489" s="339">
        <f t="shared" si="192"/>
        <v>0</v>
      </c>
      <c r="I489" s="337">
        <f t="shared" si="193"/>
        <v>436156.77242611151</v>
      </c>
      <c r="J489" s="340">
        <f t="shared" si="194"/>
        <v>1.5707940340413198</v>
      </c>
      <c r="K489" s="348">
        <f t="shared" si="210"/>
        <v>10.067533478621367</v>
      </c>
      <c r="L489" s="349">
        <f t="shared" si="211"/>
        <v>1.4713030668442912</v>
      </c>
      <c r="M489" s="337">
        <f t="shared" si="195"/>
        <v>1.0017506216675522</v>
      </c>
      <c r="N489" s="340">
        <f t="shared" si="196"/>
        <v>5.9128192599954908E-2</v>
      </c>
      <c r="O489" s="341">
        <f t="shared" si="197"/>
        <v>1.000710298966611</v>
      </c>
      <c r="P489" s="342">
        <f t="shared" si="198"/>
        <v>8.9480246156032103E-2</v>
      </c>
      <c r="Q489" s="343">
        <f t="shared" si="199"/>
        <v>-3.2028878213667062</v>
      </c>
      <c r="R489" s="344">
        <f t="shared" si="200"/>
        <v>-58.111446263298802</v>
      </c>
      <c r="S489" s="346">
        <f t="shared" si="201"/>
        <v>121.8885537367012</v>
      </c>
      <c r="U489" s="319">
        <f t="shared" si="207"/>
        <v>60256</v>
      </c>
      <c r="V489" s="319">
        <f t="shared" si="208"/>
        <v>3630785536</v>
      </c>
      <c r="X489" s="345">
        <f t="shared" si="202"/>
        <v>4.9576412304967281</v>
      </c>
      <c r="Y489" s="346">
        <f t="shared" si="203"/>
        <v>-9.0882084166631287</v>
      </c>
      <c r="AA489" s="345">
        <f t="shared" si="204"/>
        <v>30.057437961482826</v>
      </c>
      <c r="AB489" s="346">
        <f t="shared" si="205"/>
        <v>-49.023237846635681</v>
      </c>
      <c r="AD489">
        <f t="shared" si="209"/>
        <v>0</v>
      </c>
      <c r="AE489">
        <f t="shared" si="212"/>
        <v>0</v>
      </c>
    </row>
    <row r="490" spans="1:31" x14ac:dyDescent="0.2">
      <c r="A490" s="347">
        <v>60607</v>
      </c>
      <c r="B490" s="364">
        <f t="shared" si="206"/>
        <v>60.606999999999999</v>
      </c>
      <c r="C490" s="337">
        <f t="shared" si="187"/>
        <v>1.3964541916230504</v>
      </c>
      <c r="D490" s="338">
        <f t="shared" si="188"/>
        <v>0.77259842371955367</v>
      </c>
      <c r="E490" s="338">
        <f t="shared" si="189"/>
        <v>1.0000064066298175</v>
      </c>
      <c r="F490" s="339">
        <f t="shared" si="190"/>
        <v>3.5795518193123925E-3</v>
      </c>
      <c r="G490" s="338">
        <f t="shared" si="191"/>
        <v>1</v>
      </c>
      <c r="H490" s="339">
        <f t="shared" si="192"/>
        <v>0</v>
      </c>
      <c r="I490" s="337">
        <f t="shared" si="193"/>
        <v>438697.44932336267</v>
      </c>
      <c r="J490" s="340">
        <f t="shared" si="194"/>
        <v>1.5707940473195965</v>
      </c>
      <c r="K490" s="348">
        <f t="shared" si="210"/>
        <v>10.125601383402492</v>
      </c>
      <c r="L490" s="349">
        <f t="shared" si="211"/>
        <v>1.4718755107536794</v>
      </c>
      <c r="M490" s="337">
        <f t="shared" si="195"/>
        <v>1.0017710582426236</v>
      </c>
      <c r="N490" s="340">
        <f t="shared" si="196"/>
        <v>5.9471813729654738E-2</v>
      </c>
      <c r="O490" s="341">
        <f t="shared" si="197"/>
        <v>1.0007186593334434</v>
      </c>
      <c r="P490" s="342">
        <f t="shared" si="198"/>
        <v>9.0002135579549072E-2</v>
      </c>
      <c r="Q490" s="343">
        <f t="shared" si="199"/>
        <v>-3.2281378578725266</v>
      </c>
      <c r="R490" s="344">
        <f t="shared" si="200"/>
        <v>-58.293376895812735</v>
      </c>
      <c r="S490" s="346">
        <f t="shared" si="201"/>
        <v>121.70662310418726</v>
      </c>
      <c r="U490" s="319">
        <f t="shared" si="207"/>
        <v>60607</v>
      </c>
      <c r="V490" s="319">
        <f t="shared" si="208"/>
        <v>3673208449</v>
      </c>
      <c r="X490" s="345">
        <f t="shared" si="202"/>
        <v>4.9569691322805731</v>
      </c>
      <c r="Y490" s="346">
        <f t="shared" si="203"/>
        <v>-9.0750985979047734</v>
      </c>
      <c r="AA490" s="345">
        <f t="shared" si="204"/>
        <v>30.032860023193166</v>
      </c>
      <c r="AB490" s="346">
        <f t="shared" si="205"/>
        <v>-49.218278297907986</v>
      </c>
      <c r="AD490">
        <f t="shared" si="209"/>
        <v>0</v>
      </c>
      <c r="AE490">
        <f t="shared" si="212"/>
        <v>0</v>
      </c>
    </row>
    <row r="491" spans="1:31" x14ac:dyDescent="0.2">
      <c r="A491" s="347">
        <v>60958</v>
      </c>
      <c r="B491" s="364">
        <f t="shared" si="206"/>
        <v>60.957999999999998</v>
      </c>
      <c r="C491" s="337">
        <f t="shared" si="187"/>
        <v>1.40040023976101</v>
      </c>
      <c r="D491" s="338">
        <f t="shared" si="188"/>
        <v>0.77548502722551216</v>
      </c>
      <c r="E491" s="338">
        <f t="shared" si="189"/>
        <v>1.0000064810513003</v>
      </c>
      <c r="F491" s="339">
        <f t="shared" si="190"/>
        <v>3.600282293724093E-3</v>
      </c>
      <c r="G491" s="338">
        <f t="shared" si="191"/>
        <v>1</v>
      </c>
      <c r="H491" s="339">
        <f t="shared" si="192"/>
        <v>0</v>
      </c>
      <c r="I491" s="337">
        <f t="shared" si="193"/>
        <v>441238.12622061383</v>
      </c>
      <c r="J491" s="340">
        <f t="shared" si="194"/>
        <v>1.5707940604449586</v>
      </c>
      <c r="K491" s="348">
        <f t="shared" si="210"/>
        <v>10.183672568422084</v>
      </c>
      <c r="L491" s="349">
        <f t="shared" si="211"/>
        <v>1.4724414262597545</v>
      </c>
      <c r="M491" s="337">
        <f t="shared" si="195"/>
        <v>1.00179161309746</v>
      </c>
      <c r="N491" s="340">
        <f t="shared" si="196"/>
        <v>5.9815420799023224E-2</v>
      </c>
      <c r="O491" s="341">
        <f t="shared" si="197"/>
        <v>1.0007270696812072</v>
      </c>
      <c r="P491" s="342">
        <f t="shared" si="198"/>
        <v>9.0524036330154642E-2</v>
      </c>
      <c r="Q491" s="343">
        <f t="shared" si="199"/>
        <v>-3.2533845105952879</v>
      </c>
      <c r="R491" s="344">
        <f t="shared" si="200"/>
        <v>-58.47474545253683</v>
      </c>
      <c r="S491" s="346">
        <f t="shared" si="201"/>
        <v>121.52525454746316</v>
      </c>
      <c r="U491" s="319">
        <f t="shared" si="207"/>
        <v>60958</v>
      </c>
      <c r="V491" s="319">
        <f t="shared" si="208"/>
        <v>3715877764</v>
      </c>
      <c r="X491" s="345">
        <f t="shared" si="202"/>
        <v>4.956304481563965</v>
      </c>
      <c r="Y491" s="346">
        <f t="shared" si="203"/>
        <v>-9.0623620147446236</v>
      </c>
      <c r="AA491" s="345">
        <f t="shared" si="204"/>
        <v>30.00827802118701</v>
      </c>
      <c r="AB491" s="346">
        <f t="shared" si="205"/>
        <v>-49.412383437792187</v>
      </c>
      <c r="AD491">
        <f t="shared" si="209"/>
        <v>0</v>
      </c>
      <c r="AE491">
        <f t="shared" si="212"/>
        <v>0</v>
      </c>
    </row>
    <row r="492" spans="1:31" x14ac:dyDescent="0.2">
      <c r="A492" s="347">
        <v>61309</v>
      </c>
      <c r="B492" s="364">
        <f t="shared" si="206"/>
        <v>61.308999999999997</v>
      </c>
      <c r="C492" s="337">
        <f t="shared" si="187"/>
        <v>1.4043578910737358</v>
      </c>
      <c r="D492" s="338">
        <f t="shared" si="188"/>
        <v>0.77835538493720147</v>
      </c>
      <c r="E492" s="338">
        <f t="shared" si="189"/>
        <v>1.0000065559025386</v>
      </c>
      <c r="F492" s="339">
        <f t="shared" si="190"/>
        <v>3.6210127650413196E-3</v>
      </c>
      <c r="G492" s="338">
        <f t="shared" si="191"/>
        <v>1</v>
      </c>
      <c r="H492" s="339">
        <f t="shared" si="192"/>
        <v>0</v>
      </c>
      <c r="I492" s="337">
        <f t="shared" si="193"/>
        <v>443778.80311786517</v>
      </c>
      <c r="J492" s="340">
        <f t="shared" si="194"/>
        <v>1.570794073420033</v>
      </c>
      <c r="K492" s="348">
        <f t="shared" si="210"/>
        <v>10.241746977882833</v>
      </c>
      <c r="L492" s="349">
        <f t="shared" si="211"/>
        <v>1.4730009240521407</v>
      </c>
      <c r="M492" s="337">
        <f t="shared" si="195"/>
        <v>1.0018122862247811</v>
      </c>
      <c r="N492" s="340">
        <f t="shared" si="196"/>
        <v>6.0159013727791845E-2</v>
      </c>
      <c r="O492" s="341">
        <f t="shared" si="197"/>
        <v>1.0007355300345728</v>
      </c>
      <c r="P492" s="342">
        <f t="shared" si="198"/>
        <v>9.1045948471499966E-2</v>
      </c>
      <c r="Q492" s="343">
        <f t="shared" si="199"/>
        <v>-3.2786271364056621</v>
      </c>
      <c r="R492" s="344">
        <f t="shared" si="200"/>
        <v>-58.655550735733335</v>
      </c>
      <c r="S492" s="346">
        <f t="shared" si="201"/>
        <v>121.34444926426667</v>
      </c>
      <c r="U492" s="319">
        <f t="shared" si="207"/>
        <v>61309</v>
      </c>
      <c r="V492" s="319">
        <f t="shared" si="208"/>
        <v>3758793481</v>
      </c>
      <c r="X492" s="345">
        <f t="shared" si="202"/>
        <v>4.9556470866196713</v>
      </c>
      <c r="Y492" s="346">
        <f t="shared" si="203"/>
        <v>-9.0499923206858615</v>
      </c>
      <c r="AA492" s="345">
        <f t="shared" si="204"/>
        <v>29.98369279032093</v>
      </c>
      <c r="AB492" s="346">
        <f t="shared" si="205"/>
        <v>-49.605558415047476</v>
      </c>
      <c r="AD492">
        <f t="shared" si="209"/>
        <v>0</v>
      </c>
      <c r="AE492">
        <f t="shared" si="212"/>
        <v>0</v>
      </c>
    </row>
    <row r="493" spans="1:31" x14ac:dyDescent="0.2">
      <c r="A493" s="347">
        <v>61660</v>
      </c>
      <c r="B493" s="364">
        <f t="shared" si="206"/>
        <v>61.66</v>
      </c>
      <c r="C493" s="337">
        <f t="shared" si="187"/>
        <v>1.4083270477402312</v>
      </c>
      <c r="D493" s="338">
        <f t="shared" si="188"/>
        <v>0.78120958671663865</v>
      </c>
      <c r="E493" s="338">
        <f t="shared" si="189"/>
        <v>1.0000066311835321</v>
      </c>
      <c r="F493" s="339">
        <f t="shared" si="190"/>
        <v>3.6417432332462546E-3</v>
      </c>
      <c r="G493" s="338">
        <f t="shared" si="191"/>
        <v>1</v>
      </c>
      <c r="H493" s="339">
        <f t="shared" si="192"/>
        <v>0</v>
      </c>
      <c r="I493" s="337">
        <f t="shared" si="193"/>
        <v>446319.48001511645</v>
      </c>
      <c r="J493" s="340">
        <f t="shared" si="194"/>
        <v>1.5707940862473857</v>
      </c>
      <c r="K493" s="348">
        <f t="shared" si="210"/>
        <v>10.299824557242783</v>
      </c>
      <c r="L493" s="349">
        <f t="shared" si="211"/>
        <v>1.473554112340163</v>
      </c>
      <c r="M493" s="337">
        <f t="shared" si="195"/>
        <v>1.0018330776172653</v>
      </c>
      <c r="N493" s="340">
        <f t="shared" si="196"/>
        <v>6.050259243571203E-2</v>
      </c>
      <c r="O493" s="341">
        <f t="shared" si="197"/>
        <v>1.0007440404183519</v>
      </c>
      <c r="P493" s="342">
        <f t="shared" si="198"/>
        <v>9.1567872067202419E-2</v>
      </c>
      <c r="Q493" s="343">
        <f t="shared" si="199"/>
        <v>-3.303865100530516</v>
      </c>
      <c r="R493" s="344">
        <f t="shared" si="200"/>
        <v>-58.835791693374155</v>
      </c>
      <c r="S493" s="346">
        <f t="shared" si="201"/>
        <v>121.16420830662585</v>
      </c>
      <c r="U493" s="319">
        <f t="shared" si="207"/>
        <v>61660</v>
      </c>
      <c r="V493" s="319">
        <f t="shared" si="208"/>
        <v>3801955600</v>
      </c>
      <c r="X493" s="345">
        <f t="shared" si="202"/>
        <v>4.9549967611145727</v>
      </c>
      <c r="Y493" s="346">
        <f t="shared" si="203"/>
        <v>-9.0379833113399553</v>
      </c>
      <c r="AA493" s="345">
        <f t="shared" si="204"/>
        <v>29.959105151701173</v>
      </c>
      <c r="AB493" s="346">
        <f t="shared" si="205"/>
        <v>-49.797808382034198</v>
      </c>
      <c r="AD493">
        <f t="shared" si="209"/>
        <v>0</v>
      </c>
      <c r="AE493">
        <f t="shared" si="212"/>
        <v>0</v>
      </c>
    </row>
    <row r="494" spans="1:31" x14ac:dyDescent="0.2">
      <c r="A494" s="347">
        <v>62019</v>
      </c>
      <c r="B494" s="364">
        <f t="shared" si="206"/>
        <v>62.018999999999998</v>
      </c>
      <c r="C494" s="337">
        <f t="shared" si="187"/>
        <v>1.4123984701002954</v>
      </c>
      <c r="D494" s="338">
        <f t="shared" si="188"/>
        <v>0.78411222277000214</v>
      </c>
      <c r="E494" s="338">
        <f t="shared" si="189"/>
        <v>1.0000067086248907</v>
      </c>
      <c r="F494" s="339">
        <f t="shared" si="190"/>
        <v>3.6629461875169324E-3</v>
      </c>
      <c r="G494" s="338">
        <f t="shared" si="191"/>
        <v>1</v>
      </c>
      <c r="H494" s="339">
        <f t="shared" si="192"/>
        <v>0</v>
      </c>
      <c r="I494" s="337">
        <f t="shared" si="193"/>
        <v>448918.0640781172</v>
      </c>
      <c r="J494" s="340">
        <f t="shared" si="194"/>
        <v>1.570794099216904</v>
      </c>
      <c r="K494" s="348">
        <f t="shared" si="210"/>
        <v>10.35922906563998</v>
      </c>
      <c r="L494" s="349">
        <f t="shared" si="211"/>
        <v>1.4741134923153791</v>
      </c>
      <c r="M494" s="337">
        <f t="shared" si="195"/>
        <v>1.0018544652191002</v>
      </c>
      <c r="N494" s="340">
        <f t="shared" si="196"/>
        <v>6.0853987203026393E-2</v>
      </c>
      <c r="O494" s="341">
        <f t="shared" si="197"/>
        <v>1.0007527965508507</v>
      </c>
      <c r="P494" s="342">
        <f t="shared" si="198"/>
        <v>9.2101703272601226E-2</v>
      </c>
      <c r="Q494" s="343">
        <f t="shared" si="199"/>
        <v>-3.3296728138029734</v>
      </c>
      <c r="R494" s="344">
        <f t="shared" si="200"/>
        <v>-59.019555992637919</v>
      </c>
      <c r="S494" s="346">
        <f t="shared" si="201"/>
        <v>120.98044400736208</v>
      </c>
      <c r="U494" s="319">
        <f t="shared" si="207"/>
        <v>62019</v>
      </c>
      <c r="V494" s="319">
        <f t="shared" si="208"/>
        <v>3846356361</v>
      </c>
      <c r="X494" s="345">
        <f t="shared" si="202"/>
        <v>4.954338737589226</v>
      </c>
      <c r="Y494" s="346">
        <f t="shared" si="203"/>
        <v>-9.0260673798110798</v>
      </c>
      <c r="AA494" s="345">
        <f t="shared" si="204"/>
        <v>29.933955461954064</v>
      </c>
      <c r="AB494" s="346">
        <f t="shared" si="205"/>
        <v>-49.993488612826852</v>
      </c>
      <c r="AD494">
        <f t="shared" si="209"/>
        <v>0</v>
      </c>
      <c r="AE494">
        <f t="shared" si="212"/>
        <v>0</v>
      </c>
    </row>
    <row r="495" spans="1:31" x14ac:dyDescent="0.2">
      <c r="A495" s="347">
        <v>62378</v>
      </c>
      <c r="B495" s="364">
        <f t="shared" si="206"/>
        <v>62.378</v>
      </c>
      <c r="C495" s="337">
        <f t="shared" si="187"/>
        <v>1.4164817238692224</v>
      </c>
      <c r="D495" s="338">
        <f t="shared" si="188"/>
        <v>0.7869981483198415</v>
      </c>
      <c r="E495" s="338">
        <f t="shared" si="189"/>
        <v>1.0000067865158178</v>
      </c>
      <c r="F495" s="339">
        <f t="shared" si="190"/>
        <v>3.6841491384941288E-3</v>
      </c>
      <c r="G495" s="338">
        <f t="shared" si="191"/>
        <v>1</v>
      </c>
      <c r="H495" s="339">
        <f t="shared" si="192"/>
        <v>0</v>
      </c>
      <c r="I495" s="337">
        <f t="shared" si="193"/>
        <v>451516.648141118</v>
      </c>
      <c r="J495" s="340">
        <f t="shared" si="194"/>
        <v>1.5707941120371371</v>
      </c>
      <c r="K495" s="348">
        <f t="shared" si="210"/>
        <v>10.418636778537001</v>
      </c>
      <c r="L495" s="349">
        <f t="shared" si="211"/>
        <v>1.4746664932233879</v>
      </c>
      <c r="M495" s="337">
        <f t="shared" si="195"/>
        <v>1.0018759765229133</v>
      </c>
      <c r="N495" s="340">
        <f t="shared" si="196"/>
        <v>6.1205366924115538E-2</v>
      </c>
      <c r="O495" s="341">
        <f t="shared" si="197"/>
        <v>1.0007616050732957</v>
      </c>
      <c r="P495" s="342">
        <f t="shared" si="198"/>
        <v>9.263554659495192E-2</v>
      </c>
      <c r="Q495" s="343">
        <f t="shared" si="199"/>
        <v>-3.3554743341444726</v>
      </c>
      <c r="R495" s="344">
        <f t="shared" si="200"/>
        <v>-59.202728168004072</v>
      </c>
      <c r="S495" s="346">
        <f t="shared" si="201"/>
        <v>120.79727183199593</v>
      </c>
      <c r="U495" s="319">
        <f t="shared" si="207"/>
        <v>62378</v>
      </c>
      <c r="V495" s="319">
        <f t="shared" si="208"/>
        <v>3891014884</v>
      </c>
      <c r="X495" s="345">
        <f t="shared" si="202"/>
        <v>4.9536877316428445</v>
      </c>
      <c r="Y495" s="346">
        <f t="shared" si="203"/>
        <v>-9.0145160712722063</v>
      </c>
      <c r="AA495" s="345">
        <f t="shared" si="204"/>
        <v>29.908804947558941</v>
      </c>
      <c r="AB495" s="346">
        <f t="shared" si="205"/>
        <v>-50.188212096731846</v>
      </c>
      <c r="AD495">
        <f t="shared" si="209"/>
        <v>0</v>
      </c>
      <c r="AE495">
        <f t="shared" si="212"/>
        <v>0</v>
      </c>
    </row>
    <row r="496" spans="1:31" x14ac:dyDescent="0.2">
      <c r="A496" s="347">
        <v>62737</v>
      </c>
      <c r="B496" s="364">
        <f t="shared" si="206"/>
        <v>62.737000000000002</v>
      </c>
      <c r="C496" s="337">
        <f t="shared" si="187"/>
        <v>1.4205767070237083</v>
      </c>
      <c r="D496" s="338">
        <f t="shared" si="188"/>
        <v>0.78986745959765192</v>
      </c>
      <c r="E496" s="338">
        <f t="shared" si="189"/>
        <v>1.000006864856313</v>
      </c>
      <c r="F496" s="339">
        <f t="shared" si="190"/>
        <v>3.7053520861587805E-3</v>
      </c>
      <c r="G496" s="338">
        <f t="shared" si="191"/>
        <v>1</v>
      </c>
      <c r="H496" s="339">
        <f t="shared" si="192"/>
        <v>0</v>
      </c>
      <c r="I496" s="337">
        <f t="shared" si="193"/>
        <v>454115.23220411886</v>
      </c>
      <c r="J496" s="340">
        <f t="shared" si="194"/>
        <v>1.5707941247106478</v>
      </c>
      <c r="K496" s="348">
        <f t="shared" si="210"/>
        <v>10.478047641427892</v>
      </c>
      <c r="L496" s="349">
        <f t="shared" si="211"/>
        <v>1.4752132232315947</v>
      </c>
      <c r="M496" s="337">
        <f t="shared" si="195"/>
        <v>1.0018976115207365</v>
      </c>
      <c r="N496" s="340">
        <f t="shared" si="196"/>
        <v>6.1556731513183319E-2</v>
      </c>
      <c r="O496" s="341">
        <f t="shared" si="197"/>
        <v>1.0007704660126928</v>
      </c>
      <c r="P496" s="342">
        <f t="shared" si="198"/>
        <v>9.316940210221078E-2</v>
      </c>
      <c r="Q496" s="343">
        <f t="shared" si="199"/>
        <v>-3.3812690096851461</v>
      </c>
      <c r="R496" s="344">
        <f t="shared" si="200"/>
        <v>-59.385307534721051</v>
      </c>
      <c r="S496" s="346">
        <f t="shared" si="201"/>
        <v>120.61469246527895</v>
      </c>
      <c r="U496" s="319">
        <f t="shared" si="207"/>
        <v>62737</v>
      </c>
      <c r="V496" s="319">
        <f t="shared" si="208"/>
        <v>3935931169</v>
      </c>
      <c r="X496" s="345">
        <f t="shared" si="202"/>
        <v>4.953043560267357</v>
      </c>
      <c r="Y496" s="346">
        <f t="shared" si="203"/>
        <v>-9.0033231834186278</v>
      </c>
      <c r="AA496" s="345">
        <f t="shared" si="204"/>
        <v>29.883654443393759</v>
      </c>
      <c r="AB496" s="346">
        <f t="shared" si="205"/>
        <v>-50.381984351302421</v>
      </c>
      <c r="AD496">
        <f t="shared" si="209"/>
        <v>0</v>
      </c>
      <c r="AE496">
        <f t="shared" si="212"/>
        <v>0</v>
      </c>
    </row>
    <row r="497" spans="1:31" x14ac:dyDescent="0.2">
      <c r="A497" s="347">
        <v>63096</v>
      </c>
      <c r="B497" s="364">
        <f t="shared" si="206"/>
        <v>63.095999999999997</v>
      </c>
      <c r="C497" s="337">
        <f t="shared" si="187"/>
        <v>1.4246833184220453</v>
      </c>
      <c r="D497" s="338">
        <f t="shared" si="188"/>
        <v>0.79272025282442071</v>
      </c>
      <c r="E497" s="338">
        <f t="shared" si="189"/>
        <v>1.0000069436463759</v>
      </c>
      <c r="F497" s="339">
        <f t="shared" si="190"/>
        <v>3.7265550304918251E-3</v>
      </c>
      <c r="G497" s="338">
        <f t="shared" si="191"/>
        <v>1</v>
      </c>
      <c r="H497" s="339">
        <f t="shared" si="192"/>
        <v>0</v>
      </c>
      <c r="I497" s="337">
        <f t="shared" si="193"/>
        <v>456713.81626711978</v>
      </c>
      <c r="J497" s="340">
        <f t="shared" si="194"/>
        <v>1.5707941372399403</v>
      </c>
      <c r="K497" s="348">
        <f t="shared" si="210"/>
        <v>10.537461601033067</v>
      </c>
      <c r="L497" s="349">
        <f t="shared" si="211"/>
        <v>1.4757537880830491</v>
      </c>
      <c r="M497" s="337">
        <f t="shared" si="195"/>
        <v>1.001919370204557</v>
      </c>
      <c r="N497" s="340">
        <f t="shared" si="196"/>
        <v>6.1908080884455936E-2</v>
      </c>
      <c r="O497" s="341">
        <f t="shared" si="197"/>
        <v>1.0007793793962025</v>
      </c>
      <c r="P497" s="342">
        <f t="shared" si="198"/>
        <v>9.3703269862296282E-2</v>
      </c>
      <c r="Q497" s="343">
        <f t="shared" si="199"/>
        <v>-3.4070561977927576</v>
      </c>
      <c r="R497" s="344">
        <f t="shared" si="200"/>
        <v>-59.56729354633643</v>
      </c>
      <c r="S497" s="346">
        <f t="shared" si="201"/>
        <v>120.43270645366357</v>
      </c>
      <c r="U497" s="319">
        <f t="shared" si="207"/>
        <v>63096</v>
      </c>
      <c r="V497" s="319">
        <f t="shared" si="208"/>
        <v>3981105216</v>
      </c>
      <c r="X497" s="345">
        <f t="shared" si="202"/>
        <v>4.9524060456037855</v>
      </c>
      <c r="Y497" s="346">
        <f t="shared" si="203"/>
        <v>-8.9924826528488566</v>
      </c>
      <c r="AA497" s="345">
        <f t="shared" si="204"/>
        <v>29.858504769949718</v>
      </c>
      <c r="AB497" s="346">
        <f t="shared" si="205"/>
        <v>-50.57481089348758</v>
      </c>
      <c r="AD497">
        <f t="shared" si="209"/>
        <v>0</v>
      </c>
      <c r="AE497">
        <f t="shared" si="212"/>
        <v>0</v>
      </c>
    </row>
    <row r="498" spans="1:31" x14ac:dyDescent="0.2">
      <c r="A498" s="347">
        <v>63463.25</v>
      </c>
      <c r="B498" s="364">
        <f t="shared" si="206"/>
        <v>63.463250000000002</v>
      </c>
      <c r="C498" s="337">
        <f t="shared" si="187"/>
        <v>1.4288962294213301</v>
      </c>
      <c r="D498" s="338">
        <f t="shared" si="188"/>
        <v>0.79562161316279767</v>
      </c>
      <c r="E498" s="338">
        <f t="shared" si="189"/>
        <v>1.0000070247122577</v>
      </c>
      <c r="F498" s="339">
        <f t="shared" si="190"/>
        <v>3.7482452256494378E-3</v>
      </c>
      <c r="G498" s="338">
        <f t="shared" si="191"/>
        <v>1</v>
      </c>
      <c r="H498" s="339">
        <f t="shared" si="192"/>
        <v>0</v>
      </c>
      <c r="I498" s="337">
        <f t="shared" si="193"/>
        <v>459372.11709479976</v>
      </c>
      <c r="J498" s="340">
        <f t="shared" si="194"/>
        <v>1.5707941499104867</v>
      </c>
      <c r="K498" s="348">
        <f t="shared" si="210"/>
        <v>10.598244073195191</v>
      </c>
      <c r="L498" s="349">
        <f t="shared" si="211"/>
        <v>1.4763005038663461</v>
      </c>
      <c r="M498" s="337">
        <f t="shared" si="195"/>
        <v>1.0019417568876454</v>
      </c>
      <c r="N498" s="340">
        <f t="shared" si="196"/>
        <v>6.2267488604652685E-2</v>
      </c>
      <c r="O498" s="341">
        <f t="shared" si="197"/>
        <v>1.0007885519079645</v>
      </c>
      <c r="P498" s="342">
        <f t="shared" si="198"/>
        <v>9.4249418920388239E-2</v>
      </c>
      <c r="Q498" s="343">
        <f t="shared" si="199"/>
        <v>-3.4334275805500574</v>
      </c>
      <c r="R498" s="344">
        <f t="shared" si="200"/>
        <v>-59.752847292642898</v>
      </c>
      <c r="S498" s="346">
        <f t="shared" si="201"/>
        <v>120.2471527073571</v>
      </c>
      <c r="U498" s="319">
        <f t="shared" si="207"/>
        <v>63463.25</v>
      </c>
      <c r="V498" s="319">
        <f t="shared" si="208"/>
        <v>4027584100.5625</v>
      </c>
      <c r="X498" s="345">
        <f t="shared" si="202"/>
        <v>4.9517605882364313</v>
      </c>
      <c r="Y498" s="346">
        <f t="shared" si="203"/>
        <v>-8.9817514173210089</v>
      </c>
      <c r="AA498" s="345">
        <f t="shared" si="204"/>
        <v>29.832778844559769</v>
      </c>
      <c r="AB498" s="346">
        <f t="shared" si="205"/>
        <v>-50.77109587532189</v>
      </c>
      <c r="AD498">
        <f t="shared" si="209"/>
        <v>0</v>
      </c>
      <c r="AE498">
        <f t="shared" si="212"/>
        <v>0</v>
      </c>
    </row>
    <row r="499" spans="1:31" x14ac:dyDescent="0.2">
      <c r="A499" s="347">
        <v>63830.5</v>
      </c>
      <c r="B499" s="364">
        <f t="shared" si="206"/>
        <v>63.830500000000001</v>
      </c>
      <c r="C499" s="337">
        <f t="shared" si="187"/>
        <v>1.4331210979370612</v>
      </c>
      <c r="D499" s="338">
        <f t="shared" si="188"/>
        <v>0.79850589112973236</v>
      </c>
      <c r="E499" s="338">
        <f t="shared" si="189"/>
        <v>1.0000071062486073</v>
      </c>
      <c r="F499" s="339">
        <f t="shared" si="190"/>
        <v>3.769935417280202E-3</v>
      </c>
      <c r="G499" s="338">
        <f t="shared" si="191"/>
        <v>1</v>
      </c>
      <c r="H499" s="339">
        <f t="shared" si="192"/>
        <v>0</v>
      </c>
      <c r="I499" s="337">
        <f t="shared" si="193"/>
        <v>462030.41792247992</v>
      </c>
      <c r="J499" s="340">
        <f t="shared" si="194"/>
        <v>1.5707941624352328</v>
      </c>
      <c r="K499" s="348">
        <f t="shared" si="210"/>
        <v>10.659029677023964</v>
      </c>
      <c r="L499" s="349">
        <f t="shared" si="211"/>
        <v>1.4768409842610186</v>
      </c>
      <c r="M499" s="337">
        <f t="shared" si="195"/>
        <v>1.0019642729896743</v>
      </c>
      <c r="N499" s="340">
        <f t="shared" si="196"/>
        <v>6.2626880218079203E-2</v>
      </c>
      <c r="O499" s="341">
        <f t="shared" si="197"/>
        <v>1.0007977793599137</v>
      </c>
      <c r="P499" s="342">
        <f t="shared" si="198"/>
        <v>9.4795580944592991E-2</v>
      </c>
      <c r="Q499" s="343">
        <f t="shared" si="199"/>
        <v>-3.4597897969326525</v>
      </c>
      <c r="R499" s="344">
        <f t="shared" si="200"/>
        <v>-59.937779364514654</v>
      </c>
      <c r="S499" s="346">
        <f t="shared" si="201"/>
        <v>120.06222063548535</v>
      </c>
      <c r="U499" s="319">
        <f t="shared" si="207"/>
        <v>63830.5</v>
      </c>
      <c r="V499" s="319">
        <f t="shared" si="208"/>
        <v>4074332730.25</v>
      </c>
      <c r="X499" s="345">
        <f t="shared" si="202"/>
        <v>4.9511217362759483</v>
      </c>
      <c r="Y499" s="346">
        <f t="shared" si="203"/>
        <v>-8.9713765120416884</v>
      </c>
      <c r="AA499" s="345">
        <f t="shared" si="204"/>
        <v>29.807055480137659</v>
      </c>
      <c r="AB499" s="346">
        <f t="shared" si="205"/>
        <v>-50.966402852472967</v>
      </c>
      <c r="AD499">
        <f t="shared" si="209"/>
        <v>0</v>
      </c>
      <c r="AE499">
        <f t="shared" si="212"/>
        <v>0</v>
      </c>
    </row>
    <row r="500" spans="1:31" x14ac:dyDescent="0.2">
      <c r="A500" s="347">
        <v>64197.75</v>
      </c>
      <c r="B500" s="364">
        <f t="shared" si="206"/>
        <v>64.197749999999999</v>
      </c>
      <c r="C500" s="337">
        <f t="shared" si="187"/>
        <v>1.4373578185279923</v>
      </c>
      <c r="D500" s="338">
        <f t="shared" si="188"/>
        <v>0.80137318957925552</v>
      </c>
      <c r="E500" s="338">
        <f t="shared" si="189"/>
        <v>1.0000071882554245</v>
      </c>
      <c r="F500" s="339">
        <f t="shared" si="190"/>
        <v>3.7916256053637082E-3</v>
      </c>
      <c r="G500" s="338">
        <f t="shared" si="191"/>
        <v>1</v>
      </c>
      <c r="H500" s="339">
        <f t="shared" si="192"/>
        <v>0</v>
      </c>
      <c r="I500" s="337">
        <f t="shared" si="193"/>
        <v>464688.71875016007</v>
      </c>
      <c r="J500" s="340">
        <f t="shared" si="194"/>
        <v>1.5707941748166805</v>
      </c>
      <c r="K500" s="348">
        <f t="shared" si="210"/>
        <v>10.719818359246029</v>
      </c>
      <c r="L500" s="349">
        <f t="shared" si="211"/>
        <v>1.4773753350253003</v>
      </c>
      <c r="M500" s="337">
        <f t="shared" si="195"/>
        <v>1.0019869185019188</v>
      </c>
      <c r="N500" s="340">
        <f t="shared" si="196"/>
        <v>6.2986255632984753E-2</v>
      </c>
      <c r="O500" s="341">
        <f t="shared" si="197"/>
        <v>1.0008070617816289</v>
      </c>
      <c r="P500" s="342">
        <f t="shared" si="198"/>
        <v>9.5341756007495573E-2</v>
      </c>
      <c r="Q500" s="343">
        <f t="shared" si="199"/>
        <v>-3.4861421889929458</v>
      </c>
      <c r="R500" s="344">
        <f t="shared" si="200"/>
        <v>-60.122089594599522</v>
      </c>
      <c r="S500" s="346">
        <f t="shared" si="201"/>
        <v>119.87791040540048</v>
      </c>
      <c r="U500" s="319">
        <f t="shared" si="207"/>
        <v>64197.75</v>
      </c>
      <c r="V500" s="319">
        <f t="shared" si="208"/>
        <v>4121351105.0625</v>
      </c>
      <c r="X500" s="345">
        <f t="shared" si="202"/>
        <v>4.9504893149429101</v>
      </c>
      <c r="Y500" s="346">
        <f t="shared" si="203"/>
        <v>-8.9613518723968539</v>
      </c>
      <c r="AA500" s="345">
        <f t="shared" si="204"/>
        <v>29.781335509410404</v>
      </c>
      <c r="AB500" s="346">
        <f t="shared" si="205"/>
        <v>-51.16073772220269</v>
      </c>
      <c r="AD500">
        <f t="shared" si="209"/>
        <v>0</v>
      </c>
      <c r="AE500">
        <f t="shared" si="212"/>
        <v>0</v>
      </c>
    </row>
    <row r="501" spans="1:31" x14ac:dyDescent="0.2">
      <c r="A501" s="347">
        <v>64565</v>
      </c>
      <c r="B501" s="364">
        <f t="shared" si="206"/>
        <v>64.564999999999998</v>
      </c>
      <c r="C501" s="337">
        <f t="shared" si="187"/>
        <v>1.4416062866983341</v>
      </c>
      <c r="D501" s="338">
        <f t="shared" si="188"/>
        <v>0.80422361127477804</v>
      </c>
      <c r="E501" s="338">
        <f t="shared" si="189"/>
        <v>1.0000072707327092</v>
      </c>
      <c r="F501" s="339">
        <f t="shared" si="190"/>
        <v>3.8133157898795501E-3</v>
      </c>
      <c r="G501" s="338">
        <f t="shared" si="191"/>
        <v>1</v>
      </c>
      <c r="H501" s="339">
        <f t="shared" si="192"/>
        <v>0</v>
      </c>
      <c r="I501" s="337">
        <f t="shared" si="193"/>
        <v>467347.01957784023</v>
      </c>
      <c r="J501" s="340">
        <f t="shared" si="194"/>
        <v>1.5707941870572752</v>
      </c>
      <c r="K501" s="348">
        <f t="shared" si="210"/>
        <v>10.780610067786922</v>
      </c>
      <c r="L501" s="349">
        <f t="shared" si="211"/>
        <v>1.4779036595461323</v>
      </c>
      <c r="M501" s="337">
        <f t="shared" si="195"/>
        <v>1.0020096934156051</v>
      </c>
      <c r="N501" s="340">
        <f t="shared" si="196"/>
        <v>6.3345614757643581E-2</v>
      </c>
      <c r="O501" s="341">
        <f t="shared" si="197"/>
        <v>1.0008163992028583</v>
      </c>
      <c r="P501" s="342">
        <f t="shared" si="198"/>
        <v>9.5887944181638693E-2</v>
      </c>
      <c r="Q501" s="343">
        <f t="shared" si="199"/>
        <v>-3.5124841088807579</v>
      </c>
      <c r="R501" s="344">
        <f t="shared" si="200"/>
        <v>-60.305777946214064</v>
      </c>
      <c r="S501" s="346">
        <f t="shared" si="201"/>
        <v>119.69422205378594</v>
      </c>
      <c r="U501" s="319">
        <f t="shared" si="207"/>
        <v>64565</v>
      </c>
      <c r="V501" s="319">
        <f t="shared" si="208"/>
        <v>4168639225</v>
      </c>
      <c r="X501" s="345">
        <f t="shared" si="202"/>
        <v>4.9498631543766534</v>
      </c>
      <c r="Y501" s="346">
        <f t="shared" si="203"/>
        <v>-8.9516715696357316</v>
      </c>
      <c r="AA501" s="345">
        <f t="shared" si="204"/>
        <v>29.755619750088851</v>
      </c>
      <c r="AB501" s="346">
        <f t="shared" si="205"/>
        <v>-51.354106376578351</v>
      </c>
      <c r="AD501">
        <f t="shared" si="209"/>
        <v>0</v>
      </c>
      <c r="AE501">
        <f t="shared" si="212"/>
        <v>0</v>
      </c>
    </row>
    <row r="502" spans="1:31" x14ac:dyDescent="0.2">
      <c r="A502" s="347">
        <v>64941</v>
      </c>
      <c r="B502" s="364">
        <f t="shared" si="206"/>
        <v>64.941000000000003</v>
      </c>
      <c r="C502" s="337">
        <f t="shared" si="187"/>
        <v>1.4459680403553756</v>
      </c>
      <c r="D502" s="338">
        <f t="shared" si="188"/>
        <v>0.80712456885340422</v>
      </c>
      <c r="E502" s="338">
        <f t="shared" si="189"/>
        <v>1.0000073556624907</v>
      </c>
      <c r="F502" s="339">
        <f t="shared" si="190"/>
        <v>3.835522755196657E-3</v>
      </c>
      <c r="G502" s="338">
        <f t="shared" si="191"/>
        <v>1</v>
      </c>
      <c r="H502" s="339">
        <f t="shared" si="192"/>
        <v>0</v>
      </c>
      <c r="I502" s="337">
        <f t="shared" si="193"/>
        <v>470068.65636805893</v>
      </c>
      <c r="J502" s="340">
        <f t="shared" si="194"/>
        <v>1.5707941994460797</v>
      </c>
      <c r="K502" s="348">
        <f t="shared" si="210"/>
        <v>10.842853265450101</v>
      </c>
      <c r="L502" s="349">
        <f t="shared" si="211"/>
        <v>1.4784384340023387</v>
      </c>
      <c r="M502" s="337">
        <f t="shared" si="195"/>
        <v>1.0020331450118587</v>
      </c>
      <c r="N502" s="340">
        <f t="shared" si="196"/>
        <v>6.3713518903603716E-2</v>
      </c>
      <c r="O502" s="341">
        <f t="shared" si="197"/>
        <v>1.0008260161069535</v>
      </c>
      <c r="P502" s="342">
        <f t="shared" si="198"/>
        <v>9.6447159347973238E-2</v>
      </c>
      <c r="Q502" s="343">
        <f t="shared" si="199"/>
        <v>-3.5394421289476377</v>
      </c>
      <c r="R502" s="344">
        <f t="shared" si="200"/>
        <v>-60.493198621035276</v>
      </c>
      <c r="S502" s="346">
        <f t="shared" si="201"/>
        <v>119.50680137896472</v>
      </c>
      <c r="U502" s="319">
        <f t="shared" si="207"/>
        <v>64941</v>
      </c>
      <c r="V502" s="319">
        <f t="shared" si="208"/>
        <v>4217333481</v>
      </c>
      <c r="X502" s="345">
        <f t="shared" si="202"/>
        <v>4.9492283889875992</v>
      </c>
      <c r="Y502" s="346">
        <f t="shared" si="203"/>
        <v>-8.9421113149478693</v>
      </c>
      <c r="AA502" s="345">
        <f t="shared" si="204"/>
        <v>29.729296495411024</v>
      </c>
      <c r="AB502" s="346">
        <f t="shared" si="205"/>
        <v>-51.551087306087418</v>
      </c>
      <c r="AD502">
        <f t="shared" si="209"/>
        <v>0</v>
      </c>
      <c r="AE502">
        <f t="shared" si="212"/>
        <v>0</v>
      </c>
    </row>
    <row r="503" spans="1:31" x14ac:dyDescent="0.2">
      <c r="A503" s="347">
        <v>65317</v>
      </c>
      <c r="B503" s="364">
        <f t="shared" si="206"/>
        <v>65.316999999999993</v>
      </c>
      <c r="C503" s="337">
        <f t="shared" si="187"/>
        <v>1.4503418893845164</v>
      </c>
      <c r="D503" s="338">
        <f t="shared" si="188"/>
        <v>0.810008053528952</v>
      </c>
      <c r="E503" s="338">
        <f t="shared" si="189"/>
        <v>1.0000074410854247</v>
      </c>
      <c r="F503" s="339">
        <f t="shared" si="190"/>
        <v>3.8577297167307748E-3</v>
      </c>
      <c r="G503" s="338">
        <f t="shared" si="191"/>
        <v>1</v>
      </c>
      <c r="H503" s="339">
        <f t="shared" si="192"/>
        <v>0</v>
      </c>
      <c r="I503" s="337">
        <f t="shared" si="193"/>
        <v>472790.29315827764</v>
      </c>
      <c r="J503" s="340">
        <f t="shared" si="194"/>
        <v>1.5707942116922506</v>
      </c>
      <c r="K503" s="348">
        <f t="shared" si="210"/>
        <v>10.905099528594397</v>
      </c>
      <c r="L503" s="349">
        <f t="shared" si="211"/>
        <v>1.4789671036275187</v>
      </c>
      <c r="M503" s="337">
        <f t="shared" si="195"/>
        <v>1.0020567322304068</v>
      </c>
      <c r="N503" s="340">
        <f t="shared" si="196"/>
        <v>6.4081405779308376E-2</v>
      </c>
      <c r="O503" s="341">
        <f t="shared" si="197"/>
        <v>1.0008356907262426</v>
      </c>
      <c r="P503" s="342">
        <f t="shared" si="198"/>
        <v>9.7006388411516764E-2</v>
      </c>
      <c r="Q503" s="343">
        <f t="shared" si="199"/>
        <v>-3.5663878298551976</v>
      </c>
      <c r="R503" s="344">
        <f t="shared" si="200"/>
        <v>-60.679967752089048</v>
      </c>
      <c r="S503" s="346">
        <f t="shared" si="201"/>
        <v>119.32003224791094</v>
      </c>
      <c r="U503" s="319">
        <f t="shared" si="207"/>
        <v>65317</v>
      </c>
      <c r="V503" s="319">
        <f t="shared" si="208"/>
        <v>4266310489</v>
      </c>
      <c r="X503" s="345">
        <f t="shared" si="202"/>
        <v>4.948599841002892</v>
      </c>
      <c r="Y503" s="346">
        <f t="shared" si="203"/>
        <v>-8.9328998436278049</v>
      </c>
      <c r="AA503" s="345">
        <f t="shared" si="204"/>
        <v>29.702979342488174</v>
      </c>
      <c r="AB503" s="346">
        <f t="shared" si="205"/>
        <v>-51.747067908461275</v>
      </c>
      <c r="AD503">
        <f t="shared" si="209"/>
        <v>0</v>
      </c>
      <c r="AE503">
        <f t="shared" si="212"/>
        <v>0</v>
      </c>
    </row>
    <row r="504" spans="1:31" x14ac:dyDescent="0.2">
      <c r="A504" s="347">
        <v>65693</v>
      </c>
      <c r="B504" s="364">
        <f t="shared" si="206"/>
        <v>65.692999999999998</v>
      </c>
      <c r="C504" s="337">
        <f t="shared" si="187"/>
        <v>1.4547277246863106</v>
      </c>
      <c r="D504" s="338">
        <f t="shared" si="188"/>
        <v>0.81287417517190275</v>
      </c>
      <c r="E504" s="338">
        <f t="shared" si="189"/>
        <v>1.0000075270015119</v>
      </c>
      <c r="F504" s="339">
        <f t="shared" si="190"/>
        <v>3.8799366744600027E-3</v>
      </c>
      <c r="G504" s="338">
        <f t="shared" si="191"/>
        <v>1</v>
      </c>
      <c r="H504" s="339">
        <f t="shared" si="192"/>
        <v>0</v>
      </c>
      <c r="I504" s="337">
        <f t="shared" si="193"/>
        <v>475511.9299484964</v>
      </c>
      <c r="J504" s="340">
        <f t="shared" si="194"/>
        <v>1.5707942237982375</v>
      </c>
      <c r="K504" s="348">
        <f t="shared" si="210"/>
        <v>10.967348805024494</v>
      </c>
      <c r="L504" s="349">
        <f t="shared" si="211"/>
        <v>1.4794897720743427</v>
      </c>
      <c r="M504" s="337">
        <f t="shared" si="195"/>
        <v>1.0020804550616729</v>
      </c>
      <c r="N504" s="340">
        <f t="shared" si="196"/>
        <v>6.4449275286400459E-2</v>
      </c>
      <c r="O504" s="341">
        <f t="shared" si="197"/>
        <v>1.000845423093202</v>
      </c>
      <c r="P504" s="342">
        <f t="shared" si="198"/>
        <v>9.7565631449981996E-2</v>
      </c>
      <c r="Q504" s="343">
        <f t="shared" si="199"/>
        <v>-3.5933205490644871</v>
      </c>
      <c r="R504" s="344">
        <f t="shared" si="200"/>
        <v>-60.866085694588563</v>
      </c>
      <c r="S504" s="346">
        <f t="shared" si="201"/>
        <v>119.13391430541144</v>
      </c>
      <c r="U504" s="319">
        <f t="shared" si="207"/>
        <v>65693</v>
      </c>
      <c r="V504" s="319">
        <f t="shared" si="208"/>
        <v>4315570249</v>
      </c>
      <c r="X504" s="345">
        <f t="shared" si="202"/>
        <v>4.9479773430983576</v>
      </c>
      <c r="Y504" s="346">
        <f t="shared" si="203"/>
        <v>-8.9240312113198872</v>
      </c>
      <c r="AA504" s="345">
        <f t="shared" si="204"/>
        <v>29.676669121183416</v>
      </c>
      <c r="AB504" s="346">
        <f t="shared" si="205"/>
        <v>-51.942054483268684</v>
      </c>
      <c r="AD504">
        <f t="shared" si="209"/>
        <v>0</v>
      </c>
      <c r="AE504">
        <f t="shared" si="212"/>
        <v>0</v>
      </c>
    </row>
    <row r="505" spans="1:31" x14ac:dyDescent="0.2">
      <c r="A505" s="347">
        <v>66069</v>
      </c>
      <c r="B505" s="364">
        <f t="shared" si="206"/>
        <v>66.069000000000003</v>
      </c>
      <c r="C505" s="337">
        <f t="shared" si="187"/>
        <v>1.4591254381758445</v>
      </c>
      <c r="D505" s="338">
        <f t="shared" si="188"/>
        <v>0.81572304347463553</v>
      </c>
      <c r="E505" s="338">
        <f t="shared" si="189"/>
        <v>1.0000076134107512</v>
      </c>
      <c r="F505" s="339">
        <f t="shared" si="190"/>
        <v>3.9021436283624379E-3</v>
      </c>
      <c r="G505" s="338">
        <f t="shared" si="191"/>
        <v>1</v>
      </c>
      <c r="H505" s="339">
        <f t="shared" si="192"/>
        <v>0</v>
      </c>
      <c r="I505" s="337">
        <f t="shared" si="193"/>
        <v>478233.56673871522</v>
      </c>
      <c r="J505" s="340">
        <f t="shared" si="194"/>
        <v>1.5707942357664337</v>
      </c>
      <c r="K505" s="348">
        <f t="shared" si="210"/>
        <v>11.029601043720906</v>
      </c>
      <c r="L505" s="349">
        <f t="shared" si="211"/>
        <v>1.4800065406686602</v>
      </c>
      <c r="M505" s="337">
        <f t="shared" si="195"/>
        <v>1.0021043134960257</v>
      </c>
      <c r="N505" s="340">
        <f t="shared" si="196"/>
        <v>6.4817127326550927E-2</v>
      </c>
      <c r="O505" s="341">
        <f t="shared" si="197"/>
        <v>1.0008552132404946</v>
      </c>
      <c r="P505" s="342">
        <f t="shared" si="198"/>
        <v>9.8124888541033961E-2</v>
      </c>
      <c r="Q505" s="343">
        <f t="shared" si="199"/>
        <v>-3.6202396349975725</v>
      </c>
      <c r="R505" s="344">
        <f t="shared" si="200"/>
        <v>-61.051552926854995</v>
      </c>
      <c r="S505" s="346">
        <f t="shared" si="201"/>
        <v>118.948447073145</v>
      </c>
      <c r="U505" s="319">
        <f t="shared" si="207"/>
        <v>66069</v>
      </c>
      <c r="V505" s="319">
        <f t="shared" si="208"/>
        <v>4365112761</v>
      </c>
      <c r="X505" s="345">
        <f t="shared" si="202"/>
        <v>4.947360732663773</v>
      </c>
      <c r="Y505" s="346">
        <f t="shared" si="203"/>
        <v>-8.9154996069838663</v>
      </c>
      <c r="AA505" s="345">
        <f t="shared" si="204"/>
        <v>29.650366645684919</v>
      </c>
      <c r="AB505" s="346">
        <f t="shared" si="205"/>
        <v>-52.136053319871138</v>
      </c>
      <c r="AD505">
        <f t="shared" si="209"/>
        <v>0</v>
      </c>
      <c r="AE505">
        <f t="shared" si="212"/>
        <v>0</v>
      </c>
    </row>
    <row r="506" spans="1:31" x14ac:dyDescent="0.2">
      <c r="A506" s="347">
        <v>66453.75</v>
      </c>
      <c r="B506" s="364">
        <f t="shared" si="206"/>
        <v>66.453749999999999</v>
      </c>
      <c r="C506" s="337">
        <f t="shared" si="187"/>
        <v>1.4636376764101198</v>
      </c>
      <c r="D506" s="338">
        <f t="shared" si="188"/>
        <v>0.8186204625325102</v>
      </c>
      <c r="E506" s="338">
        <f t="shared" si="189"/>
        <v>1.0000077023413445</v>
      </c>
      <c r="F506" s="339">
        <f t="shared" si="190"/>
        <v>3.9248673624472279E-3</v>
      </c>
      <c r="G506" s="338">
        <f t="shared" si="191"/>
        <v>1</v>
      </c>
      <c r="H506" s="339">
        <f t="shared" si="192"/>
        <v>0</v>
      </c>
      <c r="I506" s="337">
        <f t="shared" si="193"/>
        <v>481018.53949147247</v>
      </c>
      <c r="J506" s="340">
        <f t="shared" si="194"/>
        <v>1.5707942478729469</v>
      </c>
      <c r="K506" s="348">
        <f t="shared" si="210"/>
        <v>11.093304985929947</v>
      </c>
      <c r="L506" s="349">
        <f t="shared" si="211"/>
        <v>1.4805293310628438</v>
      </c>
      <c r="M506" s="337">
        <f t="shared" si="195"/>
        <v>1.0021288675097895</v>
      </c>
      <c r="N506" s="340">
        <f t="shared" si="196"/>
        <v>6.5193521569337845E-2</v>
      </c>
      <c r="O506" s="341">
        <f t="shared" si="197"/>
        <v>1.0008652910641931</v>
      </c>
      <c r="P506" s="342">
        <f t="shared" si="198"/>
        <v>9.8697174886434758E-2</v>
      </c>
      <c r="Q506" s="343">
        <f t="shared" si="199"/>
        <v>-3.6477703812804463</v>
      </c>
      <c r="R506" s="344">
        <f t="shared" si="200"/>
        <v>-61.240663240814783</v>
      </c>
      <c r="S506" s="346">
        <f t="shared" si="201"/>
        <v>118.75933675918522</v>
      </c>
      <c r="U506" s="319">
        <f t="shared" si="207"/>
        <v>66453.75</v>
      </c>
      <c r="V506" s="319">
        <f t="shared" si="208"/>
        <v>4416100889.0625</v>
      </c>
      <c r="X506" s="345">
        <f t="shared" si="202"/>
        <v>4.9467357026382093</v>
      </c>
      <c r="Y506" s="346">
        <f t="shared" si="203"/>
        <v>-8.9071124190143962</v>
      </c>
      <c r="AA506" s="345">
        <f t="shared" si="204"/>
        <v>29.623460929427608</v>
      </c>
      <c r="AB506" s="346">
        <f t="shared" si="205"/>
        <v>-52.333550821800387</v>
      </c>
      <c r="AD506">
        <f t="shared" si="209"/>
        <v>0</v>
      </c>
      <c r="AE506">
        <f t="shared" si="212"/>
        <v>0</v>
      </c>
    </row>
    <row r="507" spans="1:31" x14ac:dyDescent="0.2">
      <c r="A507" s="347">
        <v>66838.5</v>
      </c>
      <c r="B507" s="364">
        <f t="shared" si="206"/>
        <v>66.838499999999996</v>
      </c>
      <c r="C507" s="337">
        <f t="shared" si="187"/>
        <v>1.4681621263498303</v>
      </c>
      <c r="D507" s="338">
        <f t="shared" si="188"/>
        <v>0.8215000476300478</v>
      </c>
      <c r="E507" s="338">
        <f t="shared" si="189"/>
        <v>1.0000077917883097</v>
      </c>
      <c r="F507" s="339">
        <f t="shared" si="190"/>
        <v>3.9475910924786457E-3</v>
      </c>
      <c r="G507" s="338">
        <f t="shared" si="191"/>
        <v>1</v>
      </c>
      <c r="H507" s="339">
        <f t="shared" si="192"/>
        <v>0</v>
      </c>
      <c r="I507" s="337">
        <f t="shared" si="193"/>
        <v>483803.51224422979</v>
      </c>
      <c r="J507" s="340">
        <f t="shared" si="194"/>
        <v>1.5707942598400799</v>
      </c>
      <c r="K507" s="348">
        <f t="shared" si="210"/>
        <v>11.157011925424444</v>
      </c>
      <c r="L507" s="349">
        <f t="shared" si="211"/>
        <v>1.4810461512930193</v>
      </c>
      <c r="M507" s="337">
        <f t="shared" si="195"/>
        <v>1.002153563490813</v>
      </c>
      <c r="N507" s="340">
        <f t="shared" si="196"/>
        <v>6.5569897314545086E-2</v>
      </c>
      <c r="O507" s="341">
        <f t="shared" si="197"/>
        <v>1.0008754294585527</v>
      </c>
      <c r="P507" s="342">
        <f t="shared" si="198"/>
        <v>9.9269476110458027E-2</v>
      </c>
      <c r="Q507" s="343">
        <f t="shared" si="199"/>
        <v>-3.6752855069174646</v>
      </c>
      <c r="R507" s="344">
        <f t="shared" si="200"/>
        <v>-61.429093594210535</v>
      </c>
      <c r="S507" s="346">
        <f t="shared" si="201"/>
        <v>118.57090640578946</v>
      </c>
      <c r="U507" s="319">
        <f t="shared" si="207"/>
        <v>66838.5</v>
      </c>
      <c r="V507" s="319">
        <f t="shared" si="208"/>
        <v>4467385082.25</v>
      </c>
      <c r="X507" s="345">
        <f t="shared" si="202"/>
        <v>4.9461165072350575</v>
      </c>
      <c r="Y507" s="346">
        <f t="shared" si="203"/>
        <v>-8.8990662284268538</v>
      </c>
      <c r="AA507" s="345">
        <f t="shared" si="204"/>
        <v>29.596564999193738</v>
      </c>
      <c r="AB507" s="346">
        <f t="shared" si="205"/>
        <v>-52.530027365783681</v>
      </c>
      <c r="AD507">
        <f t="shared" si="209"/>
        <v>0</v>
      </c>
      <c r="AE507">
        <f t="shared" si="212"/>
        <v>0</v>
      </c>
    </row>
    <row r="508" spans="1:31" x14ac:dyDescent="0.2">
      <c r="A508" s="347">
        <v>67223.25</v>
      </c>
      <c r="B508" s="364">
        <f t="shared" si="206"/>
        <v>67.223249999999993</v>
      </c>
      <c r="C508" s="337">
        <f t="shared" si="187"/>
        <v>1.4726986754439528</v>
      </c>
      <c r="D508" s="338">
        <f t="shared" si="188"/>
        <v>0.82436191560073813</v>
      </c>
      <c r="E508" s="338">
        <f t="shared" si="189"/>
        <v>1.0000078817516467</v>
      </c>
      <c r="F508" s="339">
        <f t="shared" si="190"/>
        <v>3.9703148184332239E-3</v>
      </c>
      <c r="G508" s="338">
        <f t="shared" si="191"/>
        <v>1</v>
      </c>
      <c r="H508" s="339">
        <f t="shared" si="192"/>
        <v>0</v>
      </c>
      <c r="I508" s="337">
        <f t="shared" si="193"/>
        <v>486588.4849969871</v>
      </c>
      <c r="J508" s="340">
        <f t="shared" si="194"/>
        <v>1.5707942716702259</v>
      </c>
      <c r="K508" s="348">
        <f t="shared" si="210"/>
        <v>11.220721811152098</v>
      </c>
      <c r="L508" s="349">
        <f t="shared" si="211"/>
        <v>1.4815571027743022</v>
      </c>
      <c r="M508" s="337">
        <f t="shared" si="195"/>
        <v>1.0021784014286006</v>
      </c>
      <c r="N508" s="340">
        <f t="shared" si="196"/>
        <v>6.5946254456910311E-2</v>
      </c>
      <c r="O508" s="341">
        <f t="shared" si="197"/>
        <v>1.0008856284591736</v>
      </c>
      <c r="P508" s="342">
        <f t="shared" si="198"/>
        <v>9.9841792296161372E-2</v>
      </c>
      <c r="Q508" s="343">
        <f t="shared" si="199"/>
        <v>-3.7027843490746455</v>
      </c>
      <c r="R508" s="344">
        <f t="shared" si="200"/>
        <v>-61.616844869316225</v>
      </c>
      <c r="S508" s="346">
        <f t="shared" si="201"/>
        <v>118.38315513068378</v>
      </c>
      <c r="U508" s="319">
        <f t="shared" si="207"/>
        <v>67223.25</v>
      </c>
      <c r="V508" s="319">
        <f t="shared" si="208"/>
        <v>4518965340.5625</v>
      </c>
      <c r="X508" s="345">
        <f t="shared" si="202"/>
        <v>4.9455029865433842</v>
      </c>
      <c r="Y508" s="346">
        <f t="shared" si="203"/>
        <v>-8.8913552186691387</v>
      </c>
      <c r="AA508" s="345">
        <f t="shared" si="204"/>
        <v>29.569679677728232</v>
      </c>
      <c r="AB508" s="346">
        <f t="shared" si="205"/>
        <v>-52.72548965064707</v>
      </c>
      <c r="AD508">
        <f t="shared" si="209"/>
        <v>0</v>
      </c>
      <c r="AE508">
        <f t="shared" si="212"/>
        <v>0</v>
      </c>
    </row>
    <row r="509" spans="1:31" x14ac:dyDescent="0.2">
      <c r="A509" s="347">
        <v>67608</v>
      </c>
      <c r="B509" s="364">
        <f t="shared" si="206"/>
        <v>67.608000000000004</v>
      </c>
      <c r="C509" s="337">
        <f t="shared" si="187"/>
        <v>1.4772472122248752</v>
      </c>
      <c r="D509" s="338">
        <f t="shared" si="188"/>
        <v>0.82720618300573301</v>
      </c>
      <c r="E509" s="338">
        <f t="shared" si="189"/>
        <v>1.0000079722313555</v>
      </c>
      <c r="F509" s="339">
        <f t="shared" si="190"/>
        <v>3.993038540287497E-3</v>
      </c>
      <c r="G509" s="338">
        <f t="shared" si="191"/>
        <v>1</v>
      </c>
      <c r="H509" s="339">
        <f t="shared" si="192"/>
        <v>0</v>
      </c>
      <c r="I509" s="337">
        <f t="shared" si="193"/>
        <v>489373.45774974459</v>
      </c>
      <c r="J509" s="340">
        <f t="shared" si="194"/>
        <v>1.5707942833657238</v>
      </c>
      <c r="K509" s="348">
        <f t="shared" si="210"/>
        <v>11.284434593211204</v>
      </c>
      <c r="L509" s="349">
        <f t="shared" si="211"/>
        <v>1.4820622846438347</v>
      </c>
      <c r="M509" s="337">
        <f t="shared" si="195"/>
        <v>1.0022033813125979</v>
      </c>
      <c r="N509" s="340">
        <f t="shared" si="196"/>
        <v>6.6322592891202639E-2</v>
      </c>
      <c r="O509" s="341">
        <f t="shared" si="197"/>
        <v>1.0008958881018606</v>
      </c>
      <c r="P509" s="342">
        <f t="shared" si="198"/>
        <v>0.10041412352654895</v>
      </c>
      <c r="Q509" s="343">
        <f t="shared" si="199"/>
        <v>-3.7302662566856233</v>
      </c>
      <c r="R509" s="344">
        <f t="shared" si="200"/>
        <v>-61.803918063315898</v>
      </c>
      <c r="S509" s="346">
        <f t="shared" si="201"/>
        <v>118.1960819366841</v>
      </c>
      <c r="U509" s="319">
        <f t="shared" si="207"/>
        <v>67608</v>
      </c>
      <c r="V509" s="319">
        <f t="shared" si="208"/>
        <v>4570841664</v>
      </c>
      <c r="X509" s="345">
        <f t="shared" si="202"/>
        <v>4.9448949851597011</v>
      </c>
      <c r="Y509" s="346">
        <f t="shared" si="203"/>
        <v>-8.8839737037061415</v>
      </c>
      <c r="AA509" s="345">
        <f t="shared" si="204"/>
        <v>29.542805771500937</v>
      </c>
      <c r="AB509" s="346">
        <f t="shared" si="205"/>
        <v>-52.919944359609758</v>
      </c>
      <c r="AD509">
        <f t="shared" si="209"/>
        <v>0</v>
      </c>
      <c r="AE509">
        <f t="shared" si="212"/>
        <v>0</v>
      </c>
    </row>
    <row r="510" spans="1:31" x14ac:dyDescent="0.2">
      <c r="A510" s="347">
        <v>68001.75</v>
      </c>
      <c r="B510" s="364">
        <f t="shared" si="206"/>
        <v>68.001750000000001</v>
      </c>
      <c r="C510" s="337">
        <f t="shared" si="187"/>
        <v>1.4819144439340892</v>
      </c>
      <c r="D510" s="338">
        <f t="shared" si="188"/>
        <v>0.83009888135617094</v>
      </c>
      <c r="E510" s="338">
        <f t="shared" si="189"/>
        <v>1.0000080653621797</v>
      </c>
      <c r="F510" s="339">
        <f t="shared" si="190"/>
        <v>4.0162938069212093E-3</v>
      </c>
      <c r="G510" s="338">
        <f t="shared" si="191"/>
        <v>1</v>
      </c>
      <c r="H510" s="339">
        <f t="shared" si="192"/>
        <v>0</v>
      </c>
      <c r="I510" s="337">
        <f t="shared" si="193"/>
        <v>492223.5760639701</v>
      </c>
      <c r="J510" s="340">
        <f t="shared" si="194"/>
        <v>1.5707942951977756</v>
      </c>
      <c r="K510" s="348">
        <f t="shared" si="210"/>
        <v>11.349640680599418</v>
      </c>
      <c r="L510" s="349">
        <f t="shared" si="211"/>
        <v>1.4825734111195128</v>
      </c>
      <c r="M510" s="337">
        <f t="shared" si="195"/>
        <v>1.0022290924759054</v>
      </c>
      <c r="N510" s="340">
        <f t="shared" si="196"/>
        <v>6.6707715084340868E-2</v>
      </c>
      <c r="O510" s="341">
        <f t="shared" si="197"/>
        <v>1.0009064505602112</v>
      </c>
      <c r="P510" s="342">
        <f t="shared" si="198"/>
        <v>0.10099985828521171</v>
      </c>
      <c r="Q510" s="343">
        <f t="shared" si="199"/>
        <v>-3.7583728154879132</v>
      </c>
      <c r="R510" s="344">
        <f t="shared" si="200"/>
        <v>-61.994666335710853</v>
      </c>
      <c r="S510" s="346">
        <f t="shared" si="201"/>
        <v>118.00533366428914</v>
      </c>
      <c r="U510" s="319">
        <f t="shared" si="207"/>
        <v>68001.75</v>
      </c>
      <c r="V510" s="319">
        <f t="shared" si="208"/>
        <v>4624238003.0625</v>
      </c>
      <c r="X510" s="345">
        <f t="shared" si="202"/>
        <v>4.9442783184173997</v>
      </c>
      <c r="Y510" s="346">
        <f t="shared" si="203"/>
        <v>-8.876754868034423</v>
      </c>
      <c r="AA510" s="345">
        <f t="shared" si="204"/>
        <v>29.515315879440948</v>
      </c>
      <c r="AB510" s="346">
        <f t="shared" si="205"/>
        <v>-53.117911467676443</v>
      </c>
      <c r="AD510">
        <f t="shared" si="209"/>
        <v>0</v>
      </c>
      <c r="AE510">
        <f t="shared" si="212"/>
        <v>0</v>
      </c>
    </row>
    <row r="511" spans="1:31" x14ac:dyDescent="0.2">
      <c r="A511" s="347">
        <v>68395.5</v>
      </c>
      <c r="B511" s="364">
        <f t="shared" si="206"/>
        <v>68.395499999999998</v>
      </c>
      <c r="C511" s="337">
        <f t="shared" si="187"/>
        <v>1.486593997941887</v>
      </c>
      <c r="D511" s="338">
        <f t="shared" si="188"/>
        <v>0.83297339215414512</v>
      </c>
      <c r="E511" s="338">
        <f t="shared" si="189"/>
        <v>1.0000081590338159</v>
      </c>
      <c r="F511" s="339">
        <f t="shared" si="190"/>
        <v>4.0395490692108158E-3</v>
      </c>
      <c r="G511" s="338">
        <f t="shared" si="191"/>
        <v>1</v>
      </c>
      <c r="H511" s="339">
        <f t="shared" si="192"/>
        <v>0</v>
      </c>
      <c r="I511" s="337">
        <f t="shared" si="193"/>
        <v>495073.69437819574</v>
      </c>
      <c r="J511" s="340">
        <f t="shared" si="194"/>
        <v>1.5707943068935943</v>
      </c>
      <c r="K511" s="348">
        <f t="shared" si="210"/>
        <v>11.414849699208338</v>
      </c>
      <c r="L511" s="349">
        <f t="shared" si="211"/>
        <v>1.4830786979546378</v>
      </c>
      <c r="M511" s="337">
        <f t="shared" si="195"/>
        <v>1.0022549522812938</v>
      </c>
      <c r="N511" s="340">
        <f t="shared" si="196"/>
        <v>6.7092817461038706E-2</v>
      </c>
      <c r="O511" s="341">
        <f t="shared" si="197"/>
        <v>1.0009170766073934</v>
      </c>
      <c r="P511" s="342">
        <f t="shared" si="198"/>
        <v>0.10158560897636207</v>
      </c>
      <c r="Q511" s="343">
        <f t="shared" si="199"/>
        <v>-3.7864602959171951</v>
      </c>
      <c r="R511" s="344">
        <f t="shared" si="200"/>
        <v>-62.184706894775957</v>
      </c>
      <c r="S511" s="346">
        <f t="shared" si="201"/>
        <v>117.81529310522404</v>
      </c>
      <c r="U511" s="319">
        <f t="shared" si="207"/>
        <v>68395.5</v>
      </c>
      <c r="V511" s="319">
        <f t="shared" si="208"/>
        <v>4677944420.25</v>
      </c>
      <c r="X511" s="345">
        <f t="shared" si="202"/>
        <v>4.9436671167049582</v>
      </c>
      <c r="Y511" s="346">
        <f t="shared" si="203"/>
        <v>-8.869869475916671</v>
      </c>
      <c r="AA511" s="345">
        <f t="shared" si="204"/>
        <v>29.487839600724111</v>
      </c>
      <c r="AB511" s="346">
        <f t="shared" si="205"/>
        <v>-53.314837418859291</v>
      </c>
      <c r="AD511">
        <f t="shared" si="209"/>
        <v>0</v>
      </c>
      <c r="AE511">
        <f t="shared" si="212"/>
        <v>0</v>
      </c>
    </row>
    <row r="512" spans="1:31" x14ac:dyDescent="0.2">
      <c r="A512" s="347">
        <v>68789.25</v>
      </c>
      <c r="B512" s="364">
        <f t="shared" si="206"/>
        <v>68.789249999999996</v>
      </c>
      <c r="C512" s="337">
        <f t="shared" si="187"/>
        <v>1.4912857582486501</v>
      </c>
      <c r="D512" s="338">
        <f t="shared" si="188"/>
        <v>0.83582983933316757</v>
      </c>
      <c r="E512" s="338">
        <f t="shared" si="189"/>
        <v>1.0000082532462633</v>
      </c>
      <c r="F512" s="339">
        <f t="shared" si="190"/>
        <v>4.0628043271311639E-3</v>
      </c>
      <c r="G512" s="338">
        <f t="shared" si="191"/>
        <v>1</v>
      </c>
      <c r="H512" s="339">
        <f t="shared" si="192"/>
        <v>0</v>
      </c>
      <c r="I512" s="337">
        <f t="shared" si="193"/>
        <v>497923.81269242143</v>
      </c>
      <c r="J512" s="340">
        <f t="shared" si="194"/>
        <v>1.5707943184555191</v>
      </c>
      <c r="K512" s="348">
        <f t="shared" si="210"/>
        <v>11.480061599088224</v>
      </c>
      <c r="L512" s="349">
        <f t="shared" si="211"/>
        <v>1.4835782444043055</v>
      </c>
      <c r="M512" s="337">
        <f t="shared" si="195"/>
        <v>1.002280960717258</v>
      </c>
      <c r="N512" s="340">
        <f t="shared" si="196"/>
        <v>6.7477899908610084E-2</v>
      </c>
      <c r="O512" s="341">
        <f t="shared" si="197"/>
        <v>1.0009277662824461</v>
      </c>
      <c r="P512" s="342">
        <f t="shared" si="198"/>
        <v>0.10217137568879044</v>
      </c>
      <c r="Q512" s="343">
        <f t="shared" si="199"/>
        <v>-3.8145280379017188</v>
      </c>
      <c r="R512" s="344">
        <f t="shared" si="200"/>
        <v>-62.37404115324663</v>
      </c>
      <c r="S512" s="346">
        <f t="shared" si="201"/>
        <v>117.62595884675338</v>
      </c>
      <c r="U512" s="319">
        <f t="shared" si="207"/>
        <v>68789.25</v>
      </c>
      <c r="V512" s="319">
        <f t="shared" si="208"/>
        <v>4731960915.5625</v>
      </c>
      <c r="X512" s="345">
        <f t="shared" si="202"/>
        <v>4.9430612271523042</v>
      </c>
      <c r="Y512" s="346">
        <f t="shared" si="203"/>
        <v>-8.8633118341323645</v>
      </c>
      <c r="AA512" s="345">
        <f t="shared" si="204"/>
        <v>29.460377748292235</v>
      </c>
      <c r="AB512" s="346">
        <f t="shared" si="205"/>
        <v>-53.510729319114247</v>
      </c>
      <c r="AD512">
        <f t="shared" si="209"/>
        <v>0</v>
      </c>
      <c r="AE512">
        <f t="shared" si="212"/>
        <v>0</v>
      </c>
    </row>
    <row r="513" spans="1:31" x14ac:dyDescent="0.2">
      <c r="A513" s="347">
        <v>69183</v>
      </c>
      <c r="B513" s="364">
        <f t="shared" si="206"/>
        <v>69.183000000000007</v>
      </c>
      <c r="C513" s="337">
        <f t="shared" si="187"/>
        <v>1.4959896100092762</v>
      </c>
      <c r="D513" s="338">
        <f t="shared" si="188"/>
        <v>0.83866834645317312</v>
      </c>
      <c r="E513" s="338">
        <f t="shared" si="189"/>
        <v>1.0000083479995221</v>
      </c>
      <c r="F513" s="339">
        <f t="shared" si="190"/>
        <v>4.0860595806571035E-3</v>
      </c>
      <c r="G513" s="338">
        <f t="shared" si="191"/>
        <v>1</v>
      </c>
      <c r="H513" s="339">
        <f t="shared" si="192"/>
        <v>0</v>
      </c>
      <c r="I513" s="337">
        <f t="shared" si="193"/>
        <v>500773.93100664712</v>
      </c>
      <c r="J513" s="340">
        <f t="shared" si="194"/>
        <v>1.5707943298858362</v>
      </c>
      <c r="K513" s="348">
        <f t="shared" si="210"/>
        <v>11.545276331415691</v>
      </c>
      <c r="L513" s="349">
        <f t="shared" si="211"/>
        <v>1.4840721474926091</v>
      </c>
      <c r="M513" s="337">
        <f t="shared" si="195"/>
        <v>1.002307117772228</v>
      </c>
      <c r="N513" s="340">
        <f t="shared" si="196"/>
        <v>6.7862962314404279E-2</v>
      </c>
      <c r="O513" s="341">
        <f t="shared" si="197"/>
        <v>1.0009385196246312</v>
      </c>
      <c r="P513" s="342">
        <f t="shared" si="198"/>
        <v>0.1027571585112272</v>
      </c>
      <c r="Q513" s="343">
        <f t="shared" si="199"/>
        <v>-3.8425753939100353</v>
      </c>
      <c r="R513" s="344">
        <f t="shared" si="200"/>
        <v>-62.562670630276472</v>
      </c>
      <c r="S513" s="346">
        <f t="shared" si="201"/>
        <v>117.43732936972353</v>
      </c>
      <c r="U513" s="319">
        <f t="shared" si="207"/>
        <v>69183</v>
      </c>
      <c r="V513" s="319">
        <f t="shared" si="208"/>
        <v>4786287489</v>
      </c>
      <c r="X513" s="345">
        <f t="shared" si="202"/>
        <v>4.9424605012011664</v>
      </c>
      <c r="Y513" s="346">
        <f t="shared" si="203"/>
        <v>-8.8570763772870578</v>
      </c>
      <c r="AA513" s="345">
        <f t="shared" si="204"/>
        <v>29.432931118235057</v>
      </c>
      <c r="AB513" s="346">
        <f t="shared" si="205"/>
        <v>-53.705594252989407</v>
      </c>
      <c r="AD513">
        <f t="shared" si="209"/>
        <v>0</v>
      </c>
      <c r="AE513">
        <f t="shared" si="212"/>
        <v>0</v>
      </c>
    </row>
    <row r="514" spans="1:31" x14ac:dyDescent="0.2">
      <c r="A514" s="347">
        <v>69586</v>
      </c>
      <c r="B514" s="364">
        <f t="shared" si="206"/>
        <v>69.585999999999999</v>
      </c>
      <c r="C514" s="337">
        <f t="shared" si="187"/>
        <v>1.5008163671720407</v>
      </c>
      <c r="D514" s="338">
        <f t="shared" si="188"/>
        <v>0.84155508731946815</v>
      </c>
      <c r="E514" s="338">
        <f t="shared" si="189"/>
        <v>1.0000084455387483</v>
      </c>
      <c r="F514" s="339">
        <f t="shared" si="190"/>
        <v>4.1098611434986759E-3</v>
      </c>
      <c r="G514" s="338">
        <f t="shared" si="191"/>
        <v>1</v>
      </c>
      <c r="H514" s="339">
        <f t="shared" si="192"/>
        <v>0</v>
      </c>
      <c r="I514" s="337">
        <f t="shared" si="193"/>
        <v>503691.00448127062</v>
      </c>
      <c r="J514" s="340">
        <f t="shared" si="194"/>
        <v>1.5707943414507251</v>
      </c>
      <c r="K514" s="348">
        <f t="shared" si="210"/>
        <v>11.6120259756108</v>
      </c>
      <c r="L514" s="349">
        <f t="shared" si="211"/>
        <v>1.484571908583856</v>
      </c>
      <c r="M514" s="337">
        <f t="shared" si="195"/>
        <v>1.0023340431953165</v>
      </c>
      <c r="N514" s="340">
        <f t="shared" si="196"/>
        <v>6.8257049759614663E-2</v>
      </c>
      <c r="O514" s="341">
        <f t="shared" si="197"/>
        <v>1.0009495915544313</v>
      </c>
      <c r="P514" s="342">
        <f t="shared" si="198"/>
        <v>0.10335671935559883</v>
      </c>
      <c r="Q514" s="343">
        <f t="shared" si="199"/>
        <v>-3.8712598674978729</v>
      </c>
      <c r="R514" s="344">
        <f t="shared" si="200"/>
        <v>-62.755003284225722</v>
      </c>
      <c r="S514" s="346">
        <f t="shared" si="201"/>
        <v>117.24499671577428</v>
      </c>
      <c r="U514" s="319">
        <f t="shared" si="207"/>
        <v>69586</v>
      </c>
      <c r="V514" s="319">
        <f t="shared" si="208"/>
        <v>4842211396</v>
      </c>
      <c r="X514" s="345">
        <f t="shared" si="202"/>
        <v>4.9418508592746111</v>
      </c>
      <c r="Y514" s="346">
        <f t="shared" si="203"/>
        <v>-8.8510223859758081</v>
      </c>
      <c r="AA514" s="345">
        <f t="shared" si="204"/>
        <v>29.404856286573775</v>
      </c>
      <c r="AB514" s="346">
        <f t="shared" si="205"/>
        <v>-53.903980898249898</v>
      </c>
      <c r="AD514">
        <f t="shared" si="209"/>
        <v>0</v>
      </c>
      <c r="AE514">
        <f t="shared" si="212"/>
        <v>0</v>
      </c>
    </row>
    <row r="515" spans="1:31" x14ac:dyDescent="0.2">
      <c r="A515" s="347">
        <v>69989</v>
      </c>
      <c r="B515" s="364">
        <f t="shared" si="206"/>
        <v>69.989000000000004</v>
      </c>
      <c r="C515" s="337">
        <f t="shared" si="187"/>
        <v>1.5056555507996714</v>
      </c>
      <c r="D515" s="338">
        <f t="shared" si="188"/>
        <v>0.84442329596367594</v>
      </c>
      <c r="E515" s="338">
        <f t="shared" si="189"/>
        <v>1.0000085436444934</v>
      </c>
      <c r="F515" s="339">
        <f t="shared" si="190"/>
        <v>4.1336627016836328E-3</v>
      </c>
      <c r="G515" s="338">
        <f t="shared" si="191"/>
        <v>1</v>
      </c>
      <c r="H515" s="339">
        <f t="shared" si="192"/>
        <v>0</v>
      </c>
      <c r="I515" s="337">
        <f t="shared" si="193"/>
        <v>506608.07795589417</v>
      </c>
      <c r="J515" s="340">
        <f t="shared" si="194"/>
        <v>1.5707943528824315</v>
      </c>
      <c r="K515" s="348">
        <f t="shared" si="210"/>
        <v>11.678778486886076</v>
      </c>
      <c r="L515" s="349">
        <f t="shared" si="211"/>
        <v>1.485065956818366</v>
      </c>
      <c r="M515" s="337">
        <f t="shared" si="195"/>
        <v>1.0023611242774308</v>
      </c>
      <c r="N515" s="340">
        <f t="shared" si="196"/>
        <v>6.8651115971672394E-2</v>
      </c>
      <c r="O515" s="341">
        <f t="shared" si="197"/>
        <v>1.0009607302617833</v>
      </c>
      <c r="P515" s="342">
        <f t="shared" si="198"/>
        <v>0.10395629726367052</v>
      </c>
      <c r="Q515" s="343">
        <f t="shared" si="199"/>
        <v>-3.8999216532653658</v>
      </c>
      <c r="R515" s="344">
        <f t="shared" si="200"/>
        <v>-62.946601196387498</v>
      </c>
      <c r="S515" s="346">
        <f t="shared" si="201"/>
        <v>117.05339880361251</v>
      </c>
      <c r="U515" s="319">
        <f t="shared" si="207"/>
        <v>69989</v>
      </c>
      <c r="V515" s="319">
        <f t="shared" si="208"/>
        <v>4898460121</v>
      </c>
      <c r="X515" s="345">
        <f t="shared" si="202"/>
        <v>4.9412463247277447</v>
      </c>
      <c r="Y515" s="346">
        <f t="shared" si="203"/>
        <v>-8.8452944930440971</v>
      </c>
      <c r="AA515" s="345">
        <f t="shared" si="204"/>
        <v>29.376799035353152</v>
      </c>
      <c r="AB515" s="346">
        <f t="shared" si="205"/>
        <v>-54.101306703343383</v>
      </c>
      <c r="AD515">
        <f t="shared" si="209"/>
        <v>0</v>
      </c>
      <c r="AE515">
        <f t="shared" si="212"/>
        <v>0</v>
      </c>
    </row>
    <row r="516" spans="1:31" x14ac:dyDescent="0.2">
      <c r="A516" s="347">
        <v>70392</v>
      </c>
      <c r="B516" s="364">
        <f t="shared" si="206"/>
        <v>70.391999999999996</v>
      </c>
      <c r="C516" s="337">
        <f t="shared" si="187"/>
        <v>1.5105070414608626</v>
      </c>
      <c r="D516" s="338">
        <f t="shared" si="188"/>
        <v>0.84727310353427854</v>
      </c>
      <c r="E516" s="338">
        <f t="shared" si="189"/>
        <v>1.0000086423167573</v>
      </c>
      <c r="F516" s="339">
        <f t="shared" si="190"/>
        <v>4.1574642551850064E-3</v>
      </c>
      <c r="G516" s="338">
        <f t="shared" si="191"/>
        <v>1</v>
      </c>
      <c r="H516" s="339">
        <f t="shared" si="192"/>
        <v>0</v>
      </c>
      <c r="I516" s="337">
        <f t="shared" si="193"/>
        <v>509525.15143051778</v>
      </c>
      <c r="J516" s="340">
        <f t="shared" si="194"/>
        <v>1.5707943641832429</v>
      </c>
      <c r="K516" s="348">
        <f t="shared" si="210"/>
        <v>11.74553381635873</v>
      </c>
      <c r="L516" s="349">
        <f t="shared" si="211"/>
        <v>1.485554389359343</v>
      </c>
      <c r="M516" s="337">
        <f t="shared" si="195"/>
        <v>1.0023883610059547</v>
      </c>
      <c r="N516" s="340">
        <f t="shared" si="196"/>
        <v>6.9045160829915742E-2</v>
      </c>
      <c r="O516" s="341">
        <f t="shared" si="197"/>
        <v>1.0009719357895082</v>
      </c>
      <c r="P516" s="342">
        <f t="shared" si="198"/>
        <v>0.10455589233037664</v>
      </c>
      <c r="Q516" s="343">
        <f t="shared" si="199"/>
        <v>-3.9285600970733277</v>
      </c>
      <c r="R516" s="344">
        <f t="shared" si="200"/>
        <v>-63.137466312633308</v>
      </c>
      <c r="S516" s="346">
        <f t="shared" si="201"/>
        <v>116.86253368736669</v>
      </c>
      <c r="U516" s="319">
        <f t="shared" si="207"/>
        <v>70392</v>
      </c>
      <c r="V516" s="319">
        <f t="shared" si="208"/>
        <v>4955033664</v>
      </c>
      <c r="X516" s="345">
        <f t="shared" si="202"/>
        <v>4.9406467513900871</v>
      </c>
      <c r="Y516" s="346">
        <f t="shared" si="203"/>
        <v>-8.8398871246680528</v>
      </c>
      <c r="AA516" s="345">
        <f t="shared" si="204"/>
        <v>29.348760164882851</v>
      </c>
      <c r="AB516" s="346">
        <f t="shared" si="205"/>
        <v>-54.297579187965255</v>
      </c>
      <c r="AD516">
        <f t="shared" si="209"/>
        <v>0</v>
      </c>
      <c r="AE516">
        <f t="shared" si="212"/>
        <v>0</v>
      </c>
    </row>
    <row r="517" spans="1:31" x14ac:dyDescent="0.2">
      <c r="A517" s="347">
        <v>70795</v>
      </c>
      <c r="B517" s="364">
        <f t="shared" si="206"/>
        <v>70.795000000000002</v>
      </c>
      <c r="C517" s="337">
        <f t="shared" si="187"/>
        <v>1.5153707209519522</v>
      </c>
      <c r="D517" s="338">
        <f t="shared" si="188"/>
        <v>0.85010464069797775</v>
      </c>
      <c r="E517" s="338">
        <f t="shared" si="189"/>
        <v>1.0000087415555403</v>
      </c>
      <c r="F517" s="339">
        <f t="shared" si="190"/>
        <v>4.1812658039758312E-3</v>
      </c>
      <c r="G517" s="338">
        <f t="shared" si="191"/>
        <v>1</v>
      </c>
      <c r="H517" s="339">
        <f t="shared" si="192"/>
        <v>0</v>
      </c>
      <c r="I517" s="337">
        <f t="shared" si="193"/>
        <v>512442.22490514145</v>
      </c>
      <c r="J517" s="340">
        <f t="shared" si="194"/>
        <v>1.570794375355395</v>
      </c>
      <c r="K517" s="348">
        <f t="shared" si="210"/>
        <v>11.812291916248956</v>
      </c>
      <c r="L517" s="349">
        <f t="shared" si="211"/>
        <v>1.4860373011843473</v>
      </c>
      <c r="M517" s="337">
        <f t="shared" si="195"/>
        <v>1.002415753368201</v>
      </c>
      <c r="N517" s="340">
        <f t="shared" si="196"/>
        <v>6.9439184213722596E-2</v>
      </c>
      <c r="O517" s="341">
        <f t="shared" si="197"/>
        <v>1.0009832081806715</v>
      </c>
      <c r="P517" s="342">
        <f t="shared" si="198"/>
        <v>0.10515550465058419</v>
      </c>
      <c r="Q517" s="343">
        <f t="shared" si="199"/>
        <v>-3.9571745580569386</v>
      </c>
      <c r="R517" s="344">
        <f t="shared" si="200"/>
        <v>-63.327600676454388</v>
      </c>
      <c r="S517" s="346">
        <f t="shared" si="201"/>
        <v>116.67239932354562</v>
      </c>
      <c r="U517" s="319">
        <f t="shared" si="207"/>
        <v>70795</v>
      </c>
      <c r="V517" s="319">
        <f t="shared" si="208"/>
        <v>5011932025</v>
      </c>
      <c r="X517" s="345">
        <f t="shared" si="202"/>
        <v>4.9400519972170978</v>
      </c>
      <c r="Y517" s="346">
        <f t="shared" si="203"/>
        <v>-8.8347948322512924</v>
      </c>
      <c r="AA517" s="345">
        <f t="shared" si="204"/>
        <v>29.320740458072226</v>
      </c>
      <c r="AB517" s="346">
        <f t="shared" si="205"/>
        <v>-54.49280584420309</v>
      </c>
      <c r="AD517">
        <f t="shared" si="209"/>
        <v>0</v>
      </c>
      <c r="AE517">
        <f t="shared" si="212"/>
        <v>0</v>
      </c>
    </row>
    <row r="518" spans="1:31" x14ac:dyDescent="0.2">
      <c r="A518" s="347">
        <v>71207.25</v>
      </c>
      <c r="B518" s="364">
        <f t="shared" si="206"/>
        <v>71.207250000000002</v>
      </c>
      <c r="C518" s="337">
        <f t="shared" si="187"/>
        <v>1.5203585254961156</v>
      </c>
      <c r="D518" s="338">
        <f t="shared" si="188"/>
        <v>0.85298240117493307</v>
      </c>
      <c r="E518" s="338">
        <f t="shared" si="189"/>
        <v>1.000008843658309</v>
      </c>
      <c r="F518" s="339">
        <f t="shared" si="190"/>
        <v>4.205613661329371E-3</v>
      </c>
      <c r="G518" s="338">
        <f t="shared" si="191"/>
        <v>1</v>
      </c>
      <c r="H518" s="339">
        <f t="shared" si="192"/>
        <v>0</v>
      </c>
      <c r="I518" s="337">
        <f t="shared" si="193"/>
        <v>515426.25354016287</v>
      </c>
      <c r="J518" s="340">
        <f t="shared" si="194"/>
        <v>1.570794386653134</v>
      </c>
      <c r="K518" s="348">
        <f t="shared" si="210"/>
        <v>11.880585122871647</v>
      </c>
      <c r="L518" s="349">
        <f t="shared" si="211"/>
        <v>1.4865256817661014</v>
      </c>
      <c r="M518" s="337">
        <f t="shared" si="195"/>
        <v>1.002443935483101</v>
      </c>
      <c r="N518" s="340">
        <f t="shared" si="196"/>
        <v>6.9842229213409573E-2</v>
      </c>
      <c r="O518" s="341">
        <f t="shared" si="197"/>
        <v>1.0009948085336475</v>
      </c>
      <c r="P518" s="342">
        <f t="shared" si="198"/>
        <v>0.10576889773550312</v>
      </c>
      <c r="Q518" s="343">
        <f t="shared" si="199"/>
        <v>-3.9864203333298192</v>
      </c>
      <c r="R518" s="344">
        <f t="shared" si="200"/>
        <v>-63.521345290554706</v>
      </c>
      <c r="S518" s="346">
        <f t="shared" si="201"/>
        <v>116.47865470944529</v>
      </c>
      <c r="U518" s="319">
        <f t="shared" si="207"/>
        <v>71207.25</v>
      </c>
      <c r="V518" s="319">
        <f t="shared" si="208"/>
        <v>5070472452.5625</v>
      </c>
      <c r="X518" s="345">
        <f t="shared" si="202"/>
        <v>4.93944843417672</v>
      </c>
      <c r="Y518" s="346">
        <f t="shared" si="203"/>
        <v>-8.8299061108637265</v>
      </c>
      <c r="AA518" s="345">
        <f t="shared" si="204"/>
        <v>29.292098245839725</v>
      </c>
      <c r="AB518" s="346">
        <f t="shared" si="205"/>
        <v>-54.691439179690981</v>
      </c>
      <c r="AD518">
        <f t="shared" si="209"/>
        <v>0</v>
      </c>
      <c r="AE518">
        <f t="shared" si="212"/>
        <v>0</v>
      </c>
    </row>
    <row r="519" spans="1:31" x14ac:dyDescent="0.2">
      <c r="A519" s="347">
        <v>71619.5</v>
      </c>
      <c r="B519" s="364">
        <f t="shared" si="206"/>
        <v>71.619500000000002</v>
      </c>
      <c r="C519" s="337">
        <f t="shared" si="187"/>
        <v>1.5253588384947216</v>
      </c>
      <c r="D519" s="338">
        <f t="shared" si="188"/>
        <v>0.85584131789673568</v>
      </c>
      <c r="E519" s="338">
        <f t="shared" si="189"/>
        <v>1.0000089463539008</v>
      </c>
      <c r="F519" s="339">
        <f t="shared" si="190"/>
        <v>4.2299615136965549E-3</v>
      </c>
      <c r="G519" s="338">
        <f t="shared" si="191"/>
        <v>1</v>
      </c>
      <c r="H519" s="339">
        <f t="shared" si="192"/>
        <v>0</v>
      </c>
      <c r="I519" s="337">
        <f t="shared" si="193"/>
        <v>518410.2821751844</v>
      </c>
      <c r="J519" s="340">
        <f t="shared" si="194"/>
        <v>1.570794397820811</v>
      </c>
      <c r="K519" s="348">
        <f t="shared" si="210"/>
        <v>11.948881130806965</v>
      </c>
      <c r="L519" s="349">
        <f t="shared" si="211"/>
        <v>1.4870084796054592</v>
      </c>
      <c r="M519" s="337">
        <f t="shared" si="195"/>
        <v>1.0024722804311073</v>
      </c>
      <c r="N519" s="340">
        <f t="shared" si="196"/>
        <v>7.0245251486332219E-2</v>
      </c>
      <c r="O519" s="341">
        <f t="shared" si="197"/>
        <v>1.0010064789466502</v>
      </c>
      <c r="P519" s="342">
        <f t="shared" si="198"/>
        <v>0.1063823090756523</v>
      </c>
      <c r="Q519" s="343">
        <f t="shared" si="199"/>
        <v>-4.0156396975134161</v>
      </c>
      <c r="R519" s="344">
        <f t="shared" si="200"/>
        <v>-63.714329841224803</v>
      </c>
      <c r="S519" s="346">
        <f t="shared" si="201"/>
        <v>116.28567015877519</v>
      </c>
      <c r="U519" s="319">
        <f t="shared" si="207"/>
        <v>71619.5</v>
      </c>
      <c r="V519" s="319">
        <f t="shared" si="208"/>
        <v>5129352780.25</v>
      </c>
      <c r="X519" s="345">
        <f t="shared" si="202"/>
        <v>4.9388496260033419</v>
      </c>
      <c r="Y519" s="346">
        <f t="shared" si="203"/>
        <v>-8.8253359474542723</v>
      </c>
      <c r="AA519" s="345">
        <f t="shared" si="204"/>
        <v>29.263477689829504</v>
      </c>
      <c r="AB519" s="346">
        <f t="shared" si="205"/>
        <v>-54.888993893770547</v>
      </c>
      <c r="AD519">
        <f t="shared" si="209"/>
        <v>0</v>
      </c>
      <c r="AE519">
        <f t="shared" si="212"/>
        <v>0</v>
      </c>
    </row>
    <row r="520" spans="1:31" x14ac:dyDescent="0.2">
      <c r="A520" s="347">
        <v>72031.75</v>
      </c>
      <c r="B520" s="364">
        <f t="shared" si="206"/>
        <v>72.031750000000002</v>
      </c>
      <c r="C520" s="337">
        <f t="shared" si="187"/>
        <v>1.5303715373379665</v>
      </c>
      <c r="D520" s="338">
        <f t="shared" si="188"/>
        <v>0.85868152906663797</v>
      </c>
      <c r="E520" s="338">
        <f t="shared" si="189"/>
        <v>1.000009049642316</v>
      </c>
      <c r="F520" s="339">
        <f t="shared" si="190"/>
        <v>4.2543093610485153E-3</v>
      </c>
      <c r="G520" s="338">
        <f t="shared" si="191"/>
        <v>1</v>
      </c>
      <c r="H520" s="339">
        <f t="shared" si="192"/>
        <v>0</v>
      </c>
      <c r="I520" s="337">
        <f t="shared" si="193"/>
        <v>521394.31081020593</v>
      </c>
      <c r="J520" s="340">
        <f t="shared" si="194"/>
        <v>1.5707944088606589</v>
      </c>
      <c r="K520" s="348">
        <f t="shared" si="210"/>
        <v>12.017179892293669</v>
      </c>
      <c r="L520" s="349">
        <f t="shared" si="211"/>
        <v>1.4874857896627272</v>
      </c>
      <c r="M520" s="337">
        <f t="shared" si="195"/>
        <v>1.0025007881984078</v>
      </c>
      <c r="N520" s="340">
        <f t="shared" si="196"/>
        <v>7.0648250903500465E-2</v>
      </c>
      <c r="O520" s="341">
        <f t="shared" si="197"/>
        <v>1.0010182194665744</v>
      </c>
      <c r="P520" s="342">
        <f t="shared" si="198"/>
        <v>0.10699573877236085</v>
      </c>
      <c r="Q520" s="343">
        <f t="shared" si="199"/>
        <v>-4.044832006831415</v>
      </c>
      <c r="R520" s="344">
        <f t="shared" si="200"/>
        <v>-63.906556804647742</v>
      </c>
      <c r="S520" s="346">
        <f t="shared" si="201"/>
        <v>116.09344319535225</v>
      </c>
      <c r="U520" s="319">
        <f t="shared" si="207"/>
        <v>72031.75</v>
      </c>
      <c r="V520" s="319">
        <f t="shared" si="208"/>
        <v>5188573008.0625</v>
      </c>
      <c r="X520" s="345">
        <f t="shared" si="202"/>
        <v>4.9382554331623947</v>
      </c>
      <c r="Y520" s="346">
        <f t="shared" si="203"/>
        <v>-8.8210788939354678</v>
      </c>
      <c r="AA520" s="345">
        <f t="shared" si="204"/>
        <v>29.234879573352455</v>
      </c>
      <c r="AB520" s="346">
        <f t="shared" si="205"/>
        <v>-55.085477910712278</v>
      </c>
      <c r="AD520">
        <f t="shared" si="209"/>
        <v>0</v>
      </c>
      <c r="AE520">
        <f t="shared" si="212"/>
        <v>0</v>
      </c>
    </row>
    <row r="521" spans="1:31" x14ac:dyDescent="0.2">
      <c r="A521" s="347">
        <v>72444</v>
      </c>
      <c r="B521" s="364">
        <f t="shared" si="206"/>
        <v>72.444000000000003</v>
      </c>
      <c r="C521" s="337">
        <f t="shared" si="187"/>
        <v>1.5353965007154784</v>
      </c>
      <c r="D521" s="338">
        <f t="shared" si="188"/>
        <v>0.86150317229252382</v>
      </c>
      <c r="E521" s="338">
        <f t="shared" si="189"/>
        <v>1.0000091535235538</v>
      </c>
      <c r="F521" s="339">
        <f t="shared" si="190"/>
        <v>4.2786572033563872E-3</v>
      </c>
      <c r="G521" s="338">
        <f t="shared" si="191"/>
        <v>1</v>
      </c>
      <c r="H521" s="339">
        <f t="shared" si="192"/>
        <v>0</v>
      </c>
      <c r="I521" s="337">
        <f t="shared" si="193"/>
        <v>524378.33944522764</v>
      </c>
      <c r="J521" s="340">
        <f t="shared" si="194"/>
        <v>1.5707944197748602</v>
      </c>
      <c r="K521" s="348">
        <f t="shared" si="210"/>
        <v>12.08548136064827</v>
      </c>
      <c r="L521" s="349">
        <f t="shared" si="211"/>
        <v>1.4879577047616603</v>
      </c>
      <c r="M521" s="337">
        <f t="shared" si="195"/>
        <v>1.0025294587711131</v>
      </c>
      <c r="N521" s="340">
        <f t="shared" si="196"/>
        <v>7.1051227335968609E-2</v>
      </c>
      <c r="O521" s="341">
        <f t="shared" si="197"/>
        <v>1.0010300301405826</v>
      </c>
      <c r="P521" s="342">
        <f t="shared" si="198"/>
        <v>0.1076091869268824</v>
      </c>
      <c r="Q521" s="343">
        <f t="shared" si="199"/>
        <v>-4.0739966314386837</v>
      </c>
      <c r="R521" s="344">
        <f t="shared" si="200"/>
        <v>-64.098028745305115</v>
      </c>
      <c r="S521" s="346">
        <f t="shared" si="201"/>
        <v>115.90197125469489</v>
      </c>
      <c r="U521" s="319">
        <f t="shared" si="207"/>
        <v>72444</v>
      </c>
      <c r="V521" s="319">
        <f t="shared" si="208"/>
        <v>5248133136</v>
      </c>
      <c r="X521" s="345">
        <f t="shared" si="202"/>
        <v>4.9376657200589262</v>
      </c>
      <c r="Y521" s="346">
        <f t="shared" si="203"/>
        <v>-8.8171296246349264</v>
      </c>
      <c r="AA521" s="345">
        <f t="shared" si="204"/>
        <v>29.206304661848648</v>
      </c>
      <c r="AB521" s="346">
        <f t="shared" si="205"/>
        <v>-55.280899120670192</v>
      </c>
      <c r="AD521">
        <f t="shared" si="209"/>
        <v>0</v>
      </c>
      <c r="AE521">
        <f t="shared" si="212"/>
        <v>0</v>
      </c>
    </row>
    <row r="522" spans="1:31" x14ac:dyDescent="0.2">
      <c r="A522" s="347">
        <v>72865.75</v>
      </c>
      <c r="B522" s="364">
        <f t="shared" si="206"/>
        <v>72.865750000000006</v>
      </c>
      <c r="C522" s="337">
        <f t="shared" si="187"/>
        <v>1.5405498272842768</v>
      </c>
      <c r="D522" s="338">
        <f t="shared" si="188"/>
        <v>0.86437076637780752</v>
      </c>
      <c r="E522" s="338">
        <f t="shared" si="189"/>
        <v>1.0000092604121309</v>
      </c>
      <c r="F522" s="339">
        <f t="shared" si="190"/>
        <v>4.3035661186482718E-3</v>
      </c>
      <c r="G522" s="338">
        <f t="shared" si="191"/>
        <v>1</v>
      </c>
      <c r="H522" s="339">
        <f t="shared" si="192"/>
        <v>0</v>
      </c>
      <c r="I522" s="337">
        <f t="shared" si="193"/>
        <v>527431.13283957657</v>
      </c>
      <c r="J522" s="340">
        <f t="shared" si="194"/>
        <v>1.5707944308127717</v>
      </c>
      <c r="K522" s="348">
        <f t="shared" si="210"/>
        <v>12.155359540001283</v>
      </c>
      <c r="L522" s="349">
        <f t="shared" si="211"/>
        <v>1.4884350065409417</v>
      </c>
      <c r="M522" s="337">
        <f t="shared" si="195"/>
        <v>1.0025589584978798</v>
      </c>
      <c r="N522" s="340">
        <f t="shared" si="196"/>
        <v>7.1463466146132831E-2</v>
      </c>
      <c r="O522" s="341">
        <f t="shared" si="197"/>
        <v>1.0010421856300897</v>
      </c>
      <c r="P522" s="342">
        <f t="shared" si="198"/>
        <v>0.10823679075209</v>
      </c>
      <c r="Q522" s="343">
        <f t="shared" si="199"/>
        <v>-4.1038040421376456</v>
      </c>
      <c r="R522" s="344">
        <f t="shared" si="200"/>
        <v>-64.293134457536397</v>
      </c>
      <c r="S522" s="346">
        <f t="shared" si="201"/>
        <v>115.7068655424636</v>
      </c>
      <c r="U522" s="319">
        <f t="shared" si="207"/>
        <v>72865.75</v>
      </c>
      <c r="V522" s="319">
        <f t="shared" si="208"/>
        <v>5309417523.0625</v>
      </c>
      <c r="X522" s="345">
        <f t="shared" si="202"/>
        <v>4.9370669158199512</v>
      </c>
      <c r="Y522" s="346">
        <f t="shared" si="203"/>
        <v>-8.8134024235234012</v>
      </c>
      <c r="AA522" s="345">
        <f t="shared" si="204"/>
        <v>29.177096055388667</v>
      </c>
      <c r="AB522" s="346">
        <f t="shared" si="205"/>
        <v>-55.479732034013018</v>
      </c>
      <c r="AD522">
        <f t="shared" si="209"/>
        <v>0</v>
      </c>
      <c r="AE522">
        <f t="shared" si="212"/>
        <v>0</v>
      </c>
    </row>
    <row r="523" spans="1:31" x14ac:dyDescent="0.2">
      <c r="A523" s="347">
        <v>73287.5</v>
      </c>
      <c r="B523" s="364">
        <f t="shared" si="206"/>
        <v>73.287499999999994</v>
      </c>
      <c r="C523" s="337">
        <f t="shared" si="187"/>
        <v>1.5457157374120698</v>
      </c>
      <c r="D523" s="338">
        <f t="shared" si="188"/>
        <v>0.8672192162817256</v>
      </c>
      <c r="E523" s="338">
        <f t="shared" si="189"/>
        <v>1.0000093679211677</v>
      </c>
      <c r="F523" s="339">
        <f t="shared" si="190"/>
        <v>4.3284750285997953E-3</v>
      </c>
      <c r="G523" s="338">
        <f t="shared" si="191"/>
        <v>1</v>
      </c>
      <c r="H523" s="339">
        <f t="shared" si="192"/>
        <v>0</v>
      </c>
      <c r="I523" s="337">
        <f t="shared" si="193"/>
        <v>530483.92623392574</v>
      </c>
      <c r="J523" s="340">
        <f t="shared" si="194"/>
        <v>1.5707944417236428</v>
      </c>
      <c r="K523" s="348">
        <f t="shared" si="210"/>
        <v>12.225240456894456</v>
      </c>
      <c r="L523" s="349">
        <f t="shared" si="211"/>
        <v>1.4889068518001225</v>
      </c>
      <c r="M523" s="337">
        <f t="shared" si="195"/>
        <v>1.0025886285903118</v>
      </c>
      <c r="N523" s="340">
        <f t="shared" si="196"/>
        <v>7.1875680627178876E-2</v>
      </c>
      <c r="O523" s="341">
        <f t="shared" si="197"/>
        <v>1.0010544146449527</v>
      </c>
      <c r="P523" s="342">
        <f t="shared" si="198"/>
        <v>0.10886441410975241</v>
      </c>
      <c r="Q523" s="343">
        <f t="shared" si="199"/>
        <v>-4.1335811878210524</v>
      </c>
      <c r="R523" s="344">
        <f t="shared" si="200"/>
        <v>-64.487455642743456</v>
      </c>
      <c r="S523" s="346">
        <f t="shared" si="201"/>
        <v>115.51254435725654</v>
      </c>
      <c r="U523" s="319">
        <f t="shared" si="207"/>
        <v>73287.5</v>
      </c>
      <c r="V523" s="319">
        <f t="shared" si="208"/>
        <v>5371057656.25</v>
      </c>
      <c r="X523" s="345">
        <f t="shared" si="202"/>
        <v>4.93647252511985</v>
      </c>
      <c r="Y523" s="346">
        <f t="shared" si="203"/>
        <v>-8.8099864567501669</v>
      </c>
      <c r="AA523" s="345">
        <f t="shared" si="204"/>
        <v>29.14791330040536</v>
      </c>
      <c r="AB523" s="346">
        <f t="shared" si="205"/>
        <v>-55.67746918599331</v>
      </c>
      <c r="AD523">
        <f t="shared" si="209"/>
        <v>0</v>
      </c>
      <c r="AE523">
        <f t="shared" si="212"/>
        <v>0</v>
      </c>
    </row>
    <row r="524" spans="1:31" x14ac:dyDescent="0.2">
      <c r="A524" s="347">
        <v>73709.25</v>
      </c>
      <c r="B524" s="364">
        <f t="shared" si="206"/>
        <v>73.709249999999997</v>
      </c>
      <c r="C524" s="337">
        <f t="shared" si="187"/>
        <v>1.5508941053542331</v>
      </c>
      <c r="D524" s="338">
        <f t="shared" si="188"/>
        <v>0.87004866731481967</v>
      </c>
      <c r="E524" s="338">
        <f t="shared" si="189"/>
        <v>1.0000094760506637</v>
      </c>
      <c r="F524" s="339">
        <f t="shared" si="190"/>
        <v>4.3533839331800486E-3</v>
      </c>
      <c r="G524" s="338">
        <f t="shared" si="191"/>
        <v>1</v>
      </c>
      <c r="H524" s="339">
        <f t="shared" si="192"/>
        <v>0</v>
      </c>
      <c r="I524" s="337">
        <f t="shared" si="193"/>
        <v>533536.71962827491</v>
      </c>
      <c r="J524" s="340">
        <f t="shared" si="194"/>
        <v>1.570794452509654</v>
      </c>
      <c r="K524" s="348">
        <f t="shared" si="210"/>
        <v>12.295124064650308</v>
      </c>
      <c r="L524" s="349">
        <f t="shared" si="211"/>
        <v>1.4893733333693704</v>
      </c>
      <c r="M524" s="337">
        <f t="shared" si="195"/>
        <v>1.0026184690332842</v>
      </c>
      <c r="N524" s="340">
        <f t="shared" si="196"/>
        <v>7.2287870641185234E-2</v>
      </c>
      <c r="O524" s="341">
        <f t="shared" si="197"/>
        <v>1.0010667172365411</v>
      </c>
      <c r="P524" s="342">
        <f t="shared" si="198"/>
        <v>0.10949205710803762</v>
      </c>
      <c r="Q524" s="343">
        <f t="shared" si="199"/>
        <v>-4.1633274382971361</v>
      </c>
      <c r="R524" s="344">
        <f t="shared" si="200"/>
        <v>-64.680995306252157</v>
      </c>
      <c r="S524" s="346">
        <f t="shared" si="201"/>
        <v>115.31900469374784</v>
      </c>
      <c r="U524" s="319">
        <f t="shared" si="207"/>
        <v>73709.25</v>
      </c>
      <c r="V524" s="319">
        <f t="shared" si="208"/>
        <v>5433053535.5625</v>
      </c>
      <c r="X524" s="345">
        <f t="shared" si="202"/>
        <v>4.935882414727625</v>
      </c>
      <c r="Y524" s="346">
        <f t="shared" si="203"/>
        <v>-8.8068763977609787</v>
      </c>
      <c r="AA524" s="345">
        <f t="shared" si="204"/>
        <v>29.118757160321497</v>
      </c>
      <c r="AB524" s="346">
        <f t="shared" si="205"/>
        <v>-55.87411890849117</v>
      </c>
      <c r="AD524">
        <f t="shared" si="209"/>
        <v>0</v>
      </c>
      <c r="AE524">
        <f t="shared" si="212"/>
        <v>0</v>
      </c>
    </row>
    <row r="525" spans="1:31" x14ac:dyDescent="0.2">
      <c r="A525" s="347">
        <v>74131</v>
      </c>
      <c r="B525" s="364">
        <f t="shared" si="206"/>
        <v>74.131</v>
      </c>
      <c r="C525" s="337">
        <f t="shared" ref="C525:C588" si="213">SQRT(1+(A525/pole1)^2)</f>
        <v>1.556084806738733</v>
      </c>
      <c r="D525" s="338">
        <f t="shared" ref="D525:D588" si="214">ATAN(A525/pole1)</f>
        <v>0.87285926407255265</v>
      </c>
      <c r="E525" s="338">
        <f t="shared" ref="E525:E588" si="215">SQRT(1+(A525/Zero1)^2)</f>
        <v>1.0000095848006194</v>
      </c>
      <c r="F525" s="339">
        <f t="shared" ref="F525:F588" si="216">ATAN(A525/Zero1)</f>
        <v>4.3782928323581249E-3</v>
      </c>
      <c r="G525" s="338">
        <f t="shared" ref="G525:G588" si="217">IF(VIN_nom&gt;Vout, 1, SQRT(1+(A525/z_RHP)^2))</f>
        <v>1</v>
      </c>
      <c r="H525" s="339">
        <f t="shared" ref="H525:H588" si="218">IF(VIN_nom&gt;Vout, 0, -ATAN(A525/z_RHP))</f>
        <v>0</v>
      </c>
      <c r="I525" s="337">
        <f t="shared" ref="I525:I588" si="219">SQRT(1+(A525/Pole2)^2)</f>
        <v>536589.51302262419</v>
      </c>
      <c r="J525" s="340">
        <f t="shared" ref="J525:J588" si="220">ATAN(A525/Pole2)</f>
        <v>1.5707944631729365</v>
      </c>
      <c r="K525" s="348">
        <f t="shared" si="210"/>
        <v>12.36501031764481</v>
      </c>
      <c r="L525" s="349">
        <f t="shared" si="211"/>
        <v>1.4898345419896315</v>
      </c>
      <c r="M525" s="337">
        <f t="shared" ref="M525:M588" si="221">SQRT(1+(A525/pole4)^2)</f>
        <v>1.0026484798115873</v>
      </c>
      <c r="N525" s="340">
        <f t="shared" ref="N525:N588" si="222">ATAN(A525/pole4)</f>
        <v>7.2700036050280081E-2</v>
      </c>
      <c r="O525" s="341">
        <f t="shared" ref="O525:O588" si="223">SQRT((1-(V525/pterm2))^2+(A525/pterm1)^2)</f>
        <v>1.001079093456517</v>
      </c>
      <c r="P525" s="342">
        <f t="shared" ref="P525:P588" si="224">IF((ATAN((A525/pterm1)/(1-A525^2/pterm2))&gt;0),ATAN((A525/pterm1)/(1-A525^2/pterm2)),PI()+ATAN((A525/pterm1)/(1-A525^2/pterm2)))</f>
        <v>0.11011971985502901</v>
      </c>
      <c r="Q525" s="343">
        <f t="shared" ref="Q525:Q588" si="225">20*LOG10(((E525*K525*G525)/(C525*I525*O525*M525))*Adc)</f>
        <v>-4.193042177912452</v>
      </c>
      <c r="R525" s="344">
        <f t="shared" ref="R525:R588" si="226">((F525+L525+H525)-(D525+J525+P525+N525))*radconv</f>
        <v>-64.873756532116133</v>
      </c>
      <c r="S525" s="346">
        <f t="shared" ref="S525:S588" si="227">IF(R525&gt;0,R525,R525+180)</f>
        <v>115.12624346788387</v>
      </c>
      <c r="U525" s="319">
        <f t="shared" si="207"/>
        <v>74131</v>
      </c>
      <c r="V525" s="319">
        <f t="shared" si="208"/>
        <v>5495405161</v>
      </c>
      <c r="X525" s="345">
        <f t="shared" ref="X525:X588" si="228">20*LOG10((K525/(I525*M525))*AEA)</f>
        <v>4.9352964551753074</v>
      </c>
      <c r="Y525" s="346">
        <f t="shared" ref="Y525:Y588" si="229">(L525-(J525+N525))*radconv</f>
        <v>-8.8040670397052612</v>
      </c>
      <c r="AA525" s="345">
        <f t="shared" ref="AA525:AA588" si="230">20*LOG10((E525*G525/(C525*O525))*Acs*Am)</f>
        <v>29.089628380258503</v>
      </c>
      <c r="AB525" s="346">
        <f t="shared" ref="AB525:AB588" si="231">(F525+H525-(D525+P525))*radconv</f>
        <v>-56.069689492410866</v>
      </c>
      <c r="AD525">
        <f t="shared" si="209"/>
        <v>0</v>
      </c>
      <c r="AE525">
        <f t="shared" si="212"/>
        <v>0</v>
      </c>
    </row>
    <row r="526" spans="1:31" x14ac:dyDescent="0.2">
      <c r="A526" s="347">
        <v>74562.75</v>
      </c>
      <c r="B526" s="364">
        <f t="shared" ref="B526:B589" si="232">A526/1000</f>
        <v>74.562749999999994</v>
      </c>
      <c r="C526" s="337">
        <f t="shared" si="213"/>
        <v>1.561411230578533</v>
      </c>
      <c r="D526" s="338">
        <f t="shared" si="214"/>
        <v>0.87571712217727549</v>
      </c>
      <c r="E526" s="338">
        <f t="shared" si="215"/>
        <v>1.0000096967718164</v>
      </c>
      <c r="F526" s="339">
        <f t="shared" si="216"/>
        <v>4.4037923340688135E-3</v>
      </c>
      <c r="G526" s="338">
        <f t="shared" si="217"/>
        <v>1</v>
      </c>
      <c r="H526" s="339">
        <f t="shared" si="218"/>
        <v>0</v>
      </c>
      <c r="I526" s="337">
        <f t="shared" si="219"/>
        <v>539714.69037416019</v>
      </c>
      <c r="J526" s="340">
        <f t="shared" si="220"/>
        <v>1.5707944739640995</v>
      </c>
      <c r="K526" s="348">
        <f t="shared" si="210"/>
        <v>12.436556318157445</v>
      </c>
      <c r="L526" s="349">
        <f t="shared" si="211"/>
        <v>1.4903013168371624</v>
      </c>
      <c r="M526" s="337">
        <f t="shared" si="221"/>
        <v>1.0026793785927306</v>
      </c>
      <c r="N526" s="340">
        <f t="shared" si="222"/>
        <v>7.3121948570917333E-2</v>
      </c>
      <c r="O526" s="341">
        <f t="shared" si="223"/>
        <v>1.0010918394476958</v>
      </c>
      <c r="P526" s="342">
        <f t="shared" si="224"/>
        <v>0.11076228551277877</v>
      </c>
      <c r="Q526" s="343">
        <f t="shared" si="225"/>
        <v>-4.2234282075401399</v>
      </c>
      <c r="R526" s="344">
        <f t="shared" si="226"/>
        <v>-65.070285222907927</v>
      </c>
      <c r="S526" s="346">
        <f t="shared" si="227"/>
        <v>114.92971477709207</v>
      </c>
      <c r="U526" s="319">
        <f t="shared" ref="U526:U589" si="233">IF(Q526&lt;0,A526,1000000000)</f>
        <v>74562.75</v>
      </c>
      <c r="V526" s="319">
        <f t="shared" ref="V526:V589" si="234">A526^2</f>
        <v>5559603687.5625</v>
      </c>
      <c r="X526" s="345">
        <f t="shared" si="228"/>
        <v>4.9347007703804211</v>
      </c>
      <c r="Y526" s="346">
        <f t="shared" si="229"/>
        <v>-8.8014972360002854</v>
      </c>
      <c r="AA526" s="345">
        <f t="shared" si="230"/>
        <v>29.059838035425702</v>
      </c>
      <c r="AB526" s="346">
        <f t="shared" si="231"/>
        <v>-56.268787986907647</v>
      </c>
      <c r="AD526">
        <f t="shared" ref="AD526:AD589" si="235">SUM((Q527&lt;0)*(Q526&gt;0))*A526</f>
        <v>0</v>
      </c>
      <c r="AE526">
        <f t="shared" si="212"/>
        <v>0</v>
      </c>
    </row>
    <row r="527" spans="1:31" x14ac:dyDescent="0.2">
      <c r="A527" s="347">
        <v>74994.5</v>
      </c>
      <c r="B527" s="364">
        <f t="shared" si="232"/>
        <v>74.994500000000002</v>
      </c>
      <c r="C527" s="337">
        <f t="shared" si="213"/>
        <v>1.5667503202453565</v>
      </c>
      <c r="D527" s="338">
        <f t="shared" si="214"/>
        <v>0.87855552561461536</v>
      </c>
      <c r="E527" s="338">
        <f t="shared" si="215"/>
        <v>1.0000098093932439</v>
      </c>
      <c r="F527" s="339">
        <f t="shared" si="216"/>
        <v>4.4292918300525589E-3</v>
      </c>
      <c r="G527" s="338">
        <f t="shared" si="217"/>
        <v>1</v>
      </c>
      <c r="H527" s="339">
        <f t="shared" si="218"/>
        <v>0</v>
      </c>
      <c r="I527" s="337">
        <f t="shared" si="219"/>
        <v>542839.86772569618</v>
      </c>
      <c r="J527" s="340">
        <f t="shared" si="220"/>
        <v>1.5707944846310109</v>
      </c>
      <c r="K527" s="348">
        <f t="shared" si="210"/>
        <v>12.508104997332817</v>
      </c>
      <c r="L527" s="349">
        <f t="shared" si="211"/>
        <v>1.4907627517069688</v>
      </c>
      <c r="M527" s="337">
        <f t="shared" si="221"/>
        <v>1.0027104558499866</v>
      </c>
      <c r="N527" s="340">
        <f t="shared" si="222"/>
        <v>7.3543835013769154E-2</v>
      </c>
      <c r="O527" s="341">
        <f t="shared" si="223"/>
        <v>1.0011046627107287</v>
      </c>
      <c r="P527" s="342">
        <f t="shared" si="224"/>
        <v>0.11140487209580101</v>
      </c>
      <c r="Q527" s="343">
        <f t="shared" si="225"/>
        <v>-4.2537799544797412</v>
      </c>
      <c r="R527" s="344">
        <f t="shared" si="226"/>
        <v>-65.266004899544043</v>
      </c>
      <c r="S527" s="346">
        <f t="shared" si="227"/>
        <v>114.73399510045596</v>
      </c>
      <c r="U527" s="319">
        <f t="shared" si="233"/>
        <v>74994.5</v>
      </c>
      <c r="V527" s="319">
        <f t="shared" si="234"/>
        <v>5624175030.25</v>
      </c>
      <c r="X527" s="345">
        <f t="shared" si="228"/>
        <v>4.9341091725622457</v>
      </c>
      <c r="Y527" s="346">
        <f t="shared" si="229"/>
        <v>-8.7992318892158146</v>
      </c>
      <c r="AA527" s="345">
        <f t="shared" si="230"/>
        <v>29.030077886304277</v>
      </c>
      <c r="AB527" s="346">
        <f t="shared" si="231"/>
        <v>-56.466773010328204</v>
      </c>
      <c r="AD527">
        <f t="shared" si="235"/>
        <v>0</v>
      </c>
      <c r="AE527">
        <f t="shared" si="212"/>
        <v>0</v>
      </c>
    </row>
    <row r="528" spans="1:31" x14ac:dyDescent="0.2">
      <c r="A528" s="347">
        <v>75426.25</v>
      </c>
      <c r="B528" s="364">
        <f t="shared" si="232"/>
        <v>75.426249999999996</v>
      </c>
      <c r="C528" s="337">
        <f t="shared" si="213"/>
        <v>1.5721019466941688</v>
      </c>
      <c r="D528" s="338">
        <f t="shared" si="214"/>
        <v>0.8813746270937739</v>
      </c>
      <c r="E528" s="338">
        <f t="shared" si="215"/>
        <v>1.0000099226649022</v>
      </c>
      <c r="F528" s="339">
        <f t="shared" si="216"/>
        <v>4.454791320276201E-3</v>
      </c>
      <c r="G528" s="338">
        <f t="shared" si="217"/>
        <v>1</v>
      </c>
      <c r="H528" s="339">
        <f t="shared" si="218"/>
        <v>0</v>
      </c>
      <c r="I528" s="337">
        <f t="shared" si="219"/>
        <v>545965.04507723241</v>
      </c>
      <c r="J528" s="340">
        <f t="shared" si="220"/>
        <v>1.5707944951758048</v>
      </c>
      <c r="K528" s="348">
        <f t="shared" si="210"/>
        <v>12.579656309465038</v>
      </c>
      <c r="L528" s="349">
        <f t="shared" si="211"/>
        <v>1.4912189375199776</v>
      </c>
      <c r="M528" s="337">
        <f t="shared" si="221"/>
        <v>1.0027417115667614</v>
      </c>
      <c r="N528" s="340">
        <f t="shared" si="222"/>
        <v>7.3965695231085579E-2</v>
      </c>
      <c r="O528" s="341">
        <f t="shared" si="223"/>
        <v>1.0011175633019957</v>
      </c>
      <c r="P528" s="342">
        <f t="shared" si="224"/>
        <v>0.11204747971977225</v>
      </c>
      <c r="Q528" s="343">
        <f t="shared" si="225"/>
        <v>-4.2840968043466106</v>
      </c>
      <c r="R528" s="344">
        <f t="shared" si="226"/>
        <v>-65.460919100518311</v>
      </c>
      <c r="S528" s="346">
        <f t="shared" si="227"/>
        <v>114.53908089948169</v>
      </c>
      <c r="U528" s="319">
        <f t="shared" si="233"/>
        <v>75426.25</v>
      </c>
      <c r="V528" s="319">
        <f t="shared" si="234"/>
        <v>5689119189.0625</v>
      </c>
      <c r="X528" s="345">
        <f t="shared" si="228"/>
        <v>4.9335215342690386</v>
      </c>
      <c r="Y528" s="346">
        <f t="shared" si="229"/>
        <v>-8.7972657816233166</v>
      </c>
      <c r="AA528" s="345">
        <f t="shared" si="230"/>
        <v>29.00034867473061</v>
      </c>
      <c r="AB528" s="346">
        <f t="shared" si="231"/>
        <v>-56.66365331889498</v>
      </c>
      <c r="AD528">
        <f t="shared" si="235"/>
        <v>0</v>
      </c>
      <c r="AE528">
        <f t="shared" si="212"/>
        <v>0</v>
      </c>
    </row>
    <row r="529" spans="1:31" x14ac:dyDescent="0.2">
      <c r="A529" s="347">
        <v>75858</v>
      </c>
      <c r="B529" s="364">
        <f t="shared" si="232"/>
        <v>75.858000000000004</v>
      </c>
      <c r="C529" s="337">
        <f t="shared" si="213"/>
        <v>1.5774659823301327</v>
      </c>
      <c r="D529" s="338">
        <f t="shared" si="214"/>
        <v>0.88417457848133985</v>
      </c>
      <c r="E529" s="338">
        <f t="shared" si="215"/>
        <v>1.0000100365867908</v>
      </c>
      <c r="F529" s="339">
        <f t="shared" si="216"/>
        <v>4.4802908047065831E-3</v>
      </c>
      <c r="G529" s="338">
        <f t="shared" si="217"/>
        <v>1</v>
      </c>
      <c r="H529" s="339">
        <f t="shared" si="218"/>
        <v>0</v>
      </c>
      <c r="I529" s="337">
        <f t="shared" si="219"/>
        <v>549090.22242876852</v>
      </c>
      <c r="J529" s="340">
        <f t="shared" si="220"/>
        <v>1.5707945056005661</v>
      </c>
      <c r="K529" s="348">
        <f t="shared" si="210"/>
        <v>12.651210209880551</v>
      </c>
      <c r="L529" s="349">
        <f t="shared" si="211"/>
        <v>1.4916699631490116</v>
      </c>
      <c r="M529" s="337">
        <f t="shared" si="221"/>
        <v>1.0027731457263678</v>
      </c>
      <c r="N529" s="340">
        <f t="shared" si="222"/>
        <v>7.4387529075172376E-2</v>
      </c>
      <c r="O529" s="341">
        <f t="shared" si="223"/>
        <v>1.0011305412781983</v>
      </c>
      <c r="P529" s="342">
        <f t="shared" si="224"/>
        <v>0.11269010850027394</v>
      </c>
      <c r="Q529" s="343">
        <f t="shared" si="225"/>
        <v>-4.3143781578821621</v>
      </c>
      <c r="R529" s="344">
        <f t="shared" si="226"/>
        <v>-65.655031433389084</v>
      </c>
      <c r="S529" s="346">
        <f t="shared" si="227"/>
        <v>114.34496856661092</v>
      </c>
      <c r="U529" s="319">
        <f t="shared" si="233"/>
        <v>75858</v>
      </c>
      <c r="V529" s="319">
        <f t="shared" si="234"/>
        <v>5754436164</v>
      </c>
      <c r="X529" s="345">
        <f t="shared" si="228"/>
        <v>4.9329377316526575</v>
      </c>
      <c r="Y529" s="346">
        <f t="shared" si="229"/>
        <v>-8.795593812842295</v>
      </c>
      <c r="AA529" s="345">
        <f t="shared" si="230"/>
        <v>28.970651123811443</v>
      </c>
      <c r="AB529" s="346">
        <f t="shared" si="231"/>
        <v>-56.859437620546785</v>
      </c>
      <c r="AD529">
        <f t="shared" si="235"/>
        <v>0</v>
      </c>
      <c r="AE529">
        <f t="shared" si="212"/>
        <v>0</v>
      </c>
    </row>
    <row r="530" spans="1:31" x14ac:dyDescent="0.2">
      <c r="A530" s="347">
        <v>76299.75</v>
      </c>
      <c r="B530" s="364">
        <f t="shared" si="232"/>
        <v>76.299750000000003</v>
      </c>
      <c r="C530" s="337">
        <f t="shared" si="213"/>
        <v>1.5829669694196515</v>
      </c>
      <c r="D530" s="338">
        <f t="shared" si="214"/>
        <v>0.8870197180410555</v>
      </c>
      <c r="E530" s="338">
        <f t="shared" si="215"/>
        <v>1.0000101538202821</v>
      </c>
      <c r="F530" s="339">
        <f t="shared" si="216"/>
        <v>4.5063808907364116E-3</v>
      </c>
      <c r="G530" s="338">
        <f t="shared" si="217"/>
        <v>1</v>
      </c>
      <c r="H530" s="339">
        <f t="shared" si="218"/>
        <v>0</v>
      </c>
      <c r="I530" s="337">
        <f t="shared" si="219"/>
        <v>552287.78373749158</v>
      </c>
      <c r="J530" s="340">
        <f t="shared" si="220"/>
        <v>1.5707945161446715</v>
      </c>
      <c r="K530" s="348">
        <f t="shared" si="210"/>
        <v>12.724424043027158</v>
      </c>
      <c r="L530" s="349">
        <f t="shared" si="211"/>
        <v>1.4921261849928753</v>
      </c>
      <c r="M530" s="337">
        <f t="shared" si="221"/>
        <v>1.0028054926226024</v>
      </c>
      <c r="N530" s="340">
        <f t="shared" si="222"/>
        <v>7.4819105795142477E-2</v>
      </c>
      <c r="O530" s="341">
        <f t="shared" si="223"/>
        <v>1.0011438999981719</v>
      </c>
      <c r="P530" s="342">
        <f t="shared" si="224"/>
        <v>0.11334764357826246</v>
      </c>
      <c r="Q530" s="343">
        <f t="shared" si="225"/>
        <v>-4.3453235260928267</v>
      </c>
      <c r="R530" s="344">
        <f t="shared" si="226"/>
        <v>-65.852813598094443</v>
      </c>
      <c r="S530" s="346">
        <f t="shared" si="227"/>
        <v>114.14718640190556</v>
      </c>
      <c r="U530" s="319">
        <f t="shared" si="233"/>
        <v>76299.75</v>
      </c>
      <c r="V530" s="319">
        <f t="shared" si="234"/>
        <v>5821651850.0625</v>
      </c>
      <c r="X530" s="345">
        <f t="shared" si="228"/>
        <v>4.9323442517066383</v>
      </c>
      <c r="Y530" s="346">
        <f t="shared" si="229"/>
        <v>-8.7941823553887346</v>
      </c>
      <c r="AA530" s="345">
        <f t="shared" si="230"/>
        <v>28.940299235546796</v>
      </c>
      <c r="AB530" s="346">
        <f t="shared" si="231"/>
        <v>-57.058631242705722</v>
      </c>
      <c r="AD530">
        <f t="shared" si="235"/>
        <v>0</v>
      </c>
      <c r="AE530">
        <f t="shared" si="212"/>
        <v>0</v>
      </c>
    </row>
    <row r="531" spans="1:31" x14ac:dyDescent="0.2">
      <c r="A531" s="347">
        <v>76741.5</v>
      </c>
      <c r="B531" s="364">
        <f t="shared" si="232"/>
        <v>76.741500000000002</v>
      </c>
      <c r="C531" s="337">
        <f t="shared" si="213"/>
        <v>1.5884806815303261</v>
      </c>
      <c r="D531" s="338">
        <f t="shared" si="214"/>
        <v>0.88984512903845403</v>
      </c>
      <c r="E531" s="338">
        <f t="shared" si="215"/>
        <v>1.0000102717344728</v>
      </c>
      <c r="F531" s="339">
        <f t="shared" si="216"/>
        <v>4.5324709706312805E-3</v>
      </c>
      <c r="G531" s="338">
        <f t="shared" si="217"/>
        <v>1</v>
      </c>
      <c r="H531" s="339">
        <f t="shared" si="218"/>
        <v>0</v>
      </c>
      <c r="I531" s="337">
        <f t="shared" si="219"/>
        <v>555485.34504621453</v>
      </c>
      <c r="J531" s="340">
        <f t="shared" si="220"/>
        <v>1.5707945265673857</v>
      </c>
      <c r="K531" s="348">
        <f t="shared" si="210"/>
        <v>12.797640494311484</v>
      </c>
      <c r="L531" s="349">
        <f t="shared" si="211"/>
        <v>1.4925771867573854</v>
      </c>
      <c r="M531" s="337">
        <f t="shared" si="221"/>
        <v>1.0028380262877794</v>
      </c>
      <c r="N531" s="340">
        <f t="shared" si="222"/>
        <v>7.5250654593413457E-2</v>
      </c>
      <c r="O531" s="341">
        <f t="shared" si="223"/>
        <v>1.0011573398504283</v>
      </c>
      <c r="P531" s="342">
        <f t="shared" si="224"/>
        <v>0.11400520104865755</v>
      </c>
      <c r="Q531" s="343">
        <f t="shared" si="225"/>
        <v>-4.3762305129807668</v>
      </c>
      <c r="R531" s="344">
        <f t="shared" si="226"/>
        <v>-66.049764164549103</v>
      </c>
      <c r="S531" s="346">
        <f t="shared" si="227"/>
        <v>113.9502358354509</v>
      </c>
      <c r="U531" s="319">
        <f t="shared" si="233"/>
        <v>76741.5</v>
      </c>
      <c r="V531" s="319">
        <f t="shared" si="234"/>
        <v>5889257822.25</v>
      </c>
      <c r="X531" s="345">
        <f t="shared" si="228"/>
        <v>4.9317545359048012</v>
      </c>
      <c r="Y531" s="346">
        <f t="shared" si="229"/>
        <v>-8.7930683797004967</v>
      </c>
      <c r="AA531" s="345">
        <f t="shared" si="230"/>
        <v>28.909981964460691</v>
      </c>
      <c r="AB531" s="346">
        <f t="shared" si="231"/>
        <v>-57.256695784848631</v>
      </c>
      <c r="AD531">
        <f t="shared" si="235"/>
        <v>0</v>
      </c>
      <c r="AE531">
        <f t="shared" si="212"/>
        <v>0</v>
      </c>
    </row>
    <row r="532" spans="1:31" x14ac:dyDescent="0.2">
      <c r="A532" s="347">
        <v>77183.25</v>
      </c>
      <c r="B532" s="364">
        <f t="shared" si="232"/>
        <v>77.183250000000001</v>
      </c>
      <c r="C532" s="337">
        <f t="shared" si="213"/>
        <v>1.5940069866136122</v>
      </c>
      <c r="D532" s="338">
        <f t="shared" si="214"/>
        <v>0.89265097132103766</v>
      </c>
      <c r="E532" s="338">
        <f t="shared" si="215"/>
        <v>1.0000103903293627</v>
      </c>
      <c r="F532" s="339">
        <f t="shared" si="216"/>
        <v>4.5585610443556719E-3</v>
      </c>
      <c r="G532" s="338">
        <f t="shared" si="217"/>
        <v>1</v>
      </c>
      <c r="H532" s="339">
        <f t="shared" si="218"/>
        <v>0</v>
      </c>
      <c r="I532" s="337">
        <f t="shared" si="219"/>
        <v>558682.9063549377</v>
      </c>
      <c r="J532" s="340">
        <f t="shared" si="220"/>
        <v>1.5707945368707936</v>
      </c>
      <c r="K532" s="348">
        <f t="shared" si="210"/>
        <v>12.870859519053351</v>
      </c>
      <c r="L532" s="349">
        <f t="shared" si="211"/>
        <v>1.4930230573445737</v>
      </c>
      <c r="M532" s="337">
        <f t="shared" si="221"/>
        <v>1.0028707467037219</v>
      </c>
      <c r="N532" s="340">
        <f t="shared" si="222"/>
        <v>7.5682175311972161E-2</v>
      </c>
      <c r="O532" s="341">
        <f t="shared" si="223"/>
        <v>1.0011708608967473</v>
      </c>
      <c r="P532" s="342">
        <f t="shared" si="224"/>
        <v>0.11466278103494651</v>
      </c>
      <c r="Q532" s="343">
        <f t="shared" si="225"/>
        <v>-4.4070985244294683</v>
      </c>
      <c r="R532" s="344">
        <f t="shared" si="226"/>
        <v>-66.245887195772397</v>
      </c>
      <c r="S532" s="346">
        <f t="shared" si="227"/>
        <v>113.7541128042276</v>
      </c>
      <c r="U532" s="319">
        <f t="shared" si="233"/>
        <v>77183.25</v>
      </c>
      <c r="V532" s="319">
        <f t="shared" si="234"/>
        <v>5957254080.5625</v>
      </c>
      <c r="X532" s="345">
        <f t="shared" si="228"/>
        <v>4.9311684625322281</v>
      </c>
      <c r="Y532" s="346">
        <f t="shared" si="229"/>
        <v>-8.7922467831322901</v>
      </c>
      <c r="AA532" s="345">
        <f t="shared" si="230"/>
        <v>28.879700026384569</v>
      </c>
      <c r="AB532" s="346">
        <f t="shared" si="231"/>
        <v>-57.453640412640091</v>
      </c>
      <c r="AD532">
        <f t="shared" si="235"/>
        <v>0</v>
      </c>
      <c r="AE532">
        <f t="shared" si="212"/>
        <v>0</v>
      </c>
    </row>
    <row r="533" spans="1:31" x14ac:dyDescent="0.2">
      <c r="A533" s="347">
        <v>77625</v>
      </c>
      <c r="B533" s="364">
        <f t="shared" si="232"/>
        <v>77.625</v>
      </c>
      <c r="C533" s="337">
        <f t="shared" si="213"/>
        <v>1.5995457541463181</v>
      </c>
      <c r="D533" s="338">
        <f t="shared" si="214"/>
        <v>0.89543740376232295</v>
      </c>
      <c r="E533" s="338">
        <f t="shared" si="215"/>
        <v>1.0000105096049512</v>
      </c>
      <c r="F533" s="339">
        <f t="shared" si="216"/>
        <v>4.5846511118740694E-3</v>
      </c>
      <c r="G533" s="338">
        <f t="shared" si="217"/>
        <v>1</v>
      </c>
      <c r="H533" s="339">
        <f t="shared" si="218"/>
        <v>0</v>
      </c>
      <c r="I533" s="337">
        <f t="shared" si="219"/>
        <v>561880.46766366076</v>
      </c>
      <c r="J533" s="340">
        <f t="shared" si="220"/>
        <v>1.5707945470569318</v>
      </c>
      <c r="K533" s="348">
        <f t="shared" si="210"/>
        <v>12.944081073581978</v>
      </c>
      <c r="L533" s="349">
        <f t="shared" si="211"/>
        <v>1.4934638836531495</v>
      </c>
      <c r="M533" s="337">
        <f t="shared" si="221"/>
        <v>1.0029036538521516</v>
      </c>
      <c r="N533" s="340">
        <f t="shared" si="222"/>
        <v>7.6113667792867781E-2</v>
      </c>
      <c r="O533" s="341">
        <f t="shared" si="223"/>
        <v>1.0011844631992595</v>
      </c>
      <c r="P533" s="342">
        <f t="shared" si="224"/>
        <v>0.11532038366051006</v>
      </c>
      <c r="Q533" s="343">
        <f t="shared" si="225"/>
        <v>-4.4379269819426002</v>
      </c>
      <c r="R533" s="344">
        <f t="shared" si="226"/>
        <v>-66.44118681375501</v>
      </c>
      <c r="S533" s="346">
        <f t="shared" si="227"/>
        <v>113.55881318624499</v>
      </c>
      <c r="U533" s="319">
        <f t="shared" si="233"/>
        <v>77625</v>
      </c>
      <c r="V533" s="319">
        <f t="shared" si="234"/>
        <v>6025640625</v>
      </c>
      <c r="X533" s="345">
        <f t="shared" si="228"/>
        <v>4.9305859133172598</v>
      </c>
      <c r="Y533" s="346">
        <f t="shared" si="229"/>
        <v>-8.7917125778216345</v>
      </c>
      <c r="AA533" s="345">
        <f t="shared" si="230"/>
        <v>28.849454118086403</v>
      </c>
      <c r="AB533" s="346">
        <f t="shared" si="231"/>
        <v>-57.649474235933354</v>
      </c>
      <c r="AD533">
        <f t="shared" si="235"/>
        <v>0</v>
      </c>
      <c r="AE533">
        <f t="shared" si="212"/>
        <v>0</v>
      </c>
    </row>
    <row r="534" spans="1:31" x14ac:dyDescent="0.2">
      <c r="A534" s="347">
        <v>78077</v>
      </c>
      <c r="B534" s="364">
        <f t="shared" si="232"/>
        <v>78.076999999999998</v>
      </c>
      <c r="C534" s="337">
        <f t="shared" si="213"/>
        <v>1.6052258036333082</v>
      </c>
      <c r="D534" s="338">
        <f t="shared" si="214"/>
        <v>0.89826856433051128</v>
      </c>
      <c r="E534" s="338">
        <f t="shared" si="215"/>
        <v>1.0000106323526847</v>
      </c>
      <c r="F534" s="339">
        <f t="shared" si="216"/>
        <v>4.6113465451831778E-3</v>
      </c>
      <c r="G534" s="338">
        <f t="shared" si="217"/>
        <v>1</v>
      </c>
      <c r="H534" s="339">
        <f t="shared" si="218"/>
        <v>0</v>
      </c>
      <c r="I534" s="337">
        <f t="shared" si="219"/>
        <v>565152.22252850037</v>
      </c>
      <c r="J534" s="340">
        <f t="shared" si="220"/>
        <v>1.5707945573601141</v>
      </c>
      <c r="K534" s="348">
        <f t="shared" si="210"/>
        <v>13.019004174223818</v>
      </c>
      <c r="L534" s="349">
        <f t="shared" si="211"/>
        <v>1.493909805927323</v>
      </c>
      <c r="M534" s="337">
        <f t="shared" si="221"/>
        <v>1.0029375178134741</v>
      </c>
      <c r="N534" s="340">
        <f t="shared" si="222"/>
        <v>7.6555142874053031E-2</v>
      </c>
      <c r="O534" s="341">
        <f t="shared" si="223"/>
        <v>1.001198465289646</v>
      </c>
      <c r="P534" s="342">
        <f t="shared" si="224"/>
        <v>0.11599326831297631</v>
      </c>
      <c r="Q534" s="343">
        <f t="shared" si="225"/>
        <v>-4.4694292288385657</v>
      </c>
      <c r="R534" s="344">
        <f t="shared" si="226"/>
        <v>-66.640170065627927</v>
      </c>
      <c r="S534" s="346">
        <f t="shared" si="227"/>
        <v>113.35982993437207</v>
      </c>
      <c r="U534" s="319">
        <f t="shared" si="233"/>
        <v>78077</v>
      </c>
      <c r="V534" s="319">
        <f t="shared" si="234"/>
        <v>6096017929</v>
      </c>
      <c r="X534" s="345">
        <f t="shared" si="228"/>
        <v>4.929993375001736</v>
      </c>
      <c r="Y534" s="346">
        <f t="shared" si="229"/>
        <v>-8.7914583627612952</v>
      </c>
      <c r="AA534" s="345">
        <f t="shared" si="230"/>
        <v>28.818544409505961</v>
      </c>
      <c r="AB534" s="346">
        <f t="shared" si="231"/>
        <v>-57.848711702866623</v>
      </c>
      <c r="AD534">
        <f t="shared" si="235"/>
        <v>0</v>
      </c>
      <c r="AE534">
        <f t="shared" si="212"/>
        <v>0</v>
      </c>
    </row>
    <row r="535" spans="1:31" x14ac:dyDescent="0.2">
      <c r="A535" s="347">
        <v>78529</v>
      </c>
      <c r="B535" s="364">
        <f t="shared" si="232"/>
        <v>78.528999999999996</v>
      </c>
      <c r="C535" s="337">
        <f t="shared" si="213"/>
        <v>1.6109186289651671</v>
      </c>
      <c r="D535" s="338">
        <f t="shared" si="214"/>
        <v>0.90107973722255319</v>
      </c>
      <c r="E535" s="338">
        <f t="shared" si="215"/>
        <v>1.000010755813072</v>
      </c>
      <c r="F535" s="339">
        <f t="shared" si="216"/>
        <v>4.6380419719197243E-3</v>
      </c>
      <c r="G535" s="338">
        <f t="shared" si="217"/>
        <v>1</v>
      </c>
      <c r="H535" s="339">
        <f t="shared" si="218"/>
        <v>0</v>
      </c>
      <c r="I535" s="337">
        <f t="shared" si="219"/>
        <v>568423.97739333997</v>
      </c>
      <c r="J535" s="340">
        <f t="shared" si="220"/>
        <v>1.5707945675446895</v>
      </c>
      <c r="K535" s="348">
        <f t="shared" ref="K535:K598" si="236">SQRT(1+(A535/Zero2)^2)</f>
        <v>13.093929834025129</v>
      </c>
      <c r="L535" s="349">
        <f t="shared" ref="L535:L598" si="237">ATAN(A535/Zero2)</f>
        <v>1.4943506250044245</v>
      </c>
      <c r="M535" s="337">
        <f t="shared" si="221"/>
        <v>1.0029715772343448</v>
      </c>
      <c r="N535" s="340">
        <f t="shared" si="222"/>
        <v>7.6996588057598833E-2</v>
      </c>
      <c r="O535" s="341">
        <f t="shared" si="223"/>
        <v>1.0012125525835112</v>
      </c>
      <c r="P535" s="342">
        <f t="shared" si="224"/>
        <v>0.11666617692850982</v>
      </c>
      <c r="Q535" s="343">
        <f t="shared" si="225"/>
        <v>-4.5008888886253811</v>
      </c>
      <c r="R535" s="344">
        <f t="shared" si="226"/>
        <v>-66.838300153223656</v>
      </c>
      <c r="S535" s="346">
        <f t="shared" si="227"/>
        <v>113.16169984677634</v>
      </c>
      <c r="U535" s="319">
        <f t="shared" si="233"/>
        <v>78529</v>
      </c>
      <c r="V535" s="319">
        <f t="shared" si="234"/>
        <v>6166803841</v>
      </c>
      <c r="X535" s="345">
        <f t="shared" si="228"/>
        <v>4.9294042863091745</v>
      </c>
      <c r="Y535" s="346">
        <f t="shared" si="229"/>
        <v>-8.7914948195513176</v>
      </c>
      <c r="AA535" s="345">
        <f t="shared" si="230"/>
        <v>28.787673838411706</v>
      </c>
      <c r="AB535" s="346">
        <f t="shared" si="231"/>
        <v>-58.046805333672324</v>
      </c>
      <c r="AD535">
        <f t="shared" si="235"/>
        <v>0</v>
      </c>
      <c r="AE535">
        <f t="shared" si="212"/>
        <v>0</v>
      </c>
    </row>
    <row r="536" spans="1:31" x14ac:dyDescent="0.2">
      <c r="A536" s="347">
        <v>78981</v>
      </c>
      <c r="B536" s="364">
        <f t="shared" si="232"/>
        <v>78.980999999999995</v>
      </c>
      <c r="C536" s="337">
        <f t="shared" si="213"/>
        <v>1.6166240951742479</v>
      </c>
      <c r="D536" s="338">
        <f t="shared" si="214"/>
        <v>0.9038710893957228</v>
      </c>
      <c r="E536" s="338">
        <f t="shared" si="215"/>
        <v>1.0000108799861125</v>
      </c>
      <c r="F536" s="339">
        <f t="shared" si="216"/>
        <v>4.6647373920456611E-3</v>
      </c>
      <c r="G536" s="338">
        <f t="shared" si="217"/>
        <v>1</v>
      </c>
      <c r="H536" s="339">
        <f t="shared" si="218"/>
        <v>0</v>
      </c>
      <c r="I536" s="337">
        <f t="shared" si="219"/>
        <v>571695.73225817969</v>
      </c>
      <c r="J536" s="340">
        <f t="shared" si="220"/>
        <v>1.5707945776126944</v>
      </c>
      <c r="K536" s="348">
        <f t="shared" si="236"/>
        <v>13.168858009304056</v>
      </c>
      <c r="L536" s="349">
        <f t="shared" si="237"/>
        <v>1.4947864278201737</v>
      </c>
      <c r="M536" s="337">
        <f t="shared" si="221"/>
        <v>1.0030058320948521</v>
      </c>
      <c r="N536" s="340">
        <f t="shared" si="222"/>
        <v>7.7438003174507455E-2</v>
      </c>
      <c r="O536" s="341">
        <f t="shared" si="223"/>
        <v>1.001226725148558</v>
      </c>
      <c r="P536" s="342">
        <f t="shared" si="224"/>
        <v>0.11733910963892981</v>
      </c>
      <c r="Q536" s="343">
        <f t="shared" si="225"/>
        <v>-4.5323053907903468</v>
      </c>
      <c r="R536" s="344">
        <f t="shared" si="226"/>
        <v>-67.035581659428175</v>
      </c>
      <c r="S536" s="346">
        <f t="shared" si="227"/>
        <v>112.96441834057183</v>
      </c>
      <c r="U536" s="319">
        <f t="shared" si="233"/>
        <v>78981</v>
      </c>
      <c r="V536" s="319">
        <f t="shared" si="234"/>
        <v>6237998361</v>
      </c>
      <c r="X536" s="345">
        <f t="shared" si="228"/>
        <v>4.9288185309969066</v>
      </c>
      <c r="Y536" s="346">
        <f t="shared" si="229"/>
        <v>-8.7918169575756622</v>
      </c>
      <c r="AA536" s="345">
        <f t="shared" si="230"/>
        <v>28.756843091559006</v>
      </c>
      <c r="AB536" s="346">
        <f t="shared" si="231"/>
        <v>-58.243764701852498</v>
      </c>
      <c r="AD536">
        <f t="shared" si="235"/>
        <v>0</v>
      </c>
      <c r="AE536">
        <f t="shared" si="212"/>
        <v>0</v>
      </c>
    </row>
    <row r="537" spans="1:31" x14ac:dyDescent="0.2">
      <c r="A537" s="347">
        <v>79433</v>
      </c>
      <c r="B537" s="364">
        <f t="shared" si="232"/>
        <v>79.433000000000007</v>
      </c>
      <c r="C537" s="337">
        <f t="shared" si="213"/>
        <v>1.6223420688939263</v>
      </c>
      <c r="D537" s="338">
        <f t="shared" si="214"/>
        <v>0.9066427866968243</v>
      </c>
      <c r="E537" s="338">
        <f t="shared" si="215"/>
        <v>1.0000110048718061</v>
      </c>
      <c r="F537" s="339">
        <f t="shared" si="216"/>
        <v>4.6914328055229449E-3</v>
      </c>
      <c r="G537" s="338">
        <f t="shared" si="217"/>
        <v>1</v>
      </c>
      <c r="H537" s="339">
        <f t="shared" si="218"/>
        <v>0</v>
      </c>
      <c r="I537" s="337">
        <f t="shared" si="219"/>
        <v>574967.48712301941</v>
      </c>
      <c r="J537" s="340">
        <f t="shared" si="220"/>
        <v>1.5707945875661187</v>
      </c>
      <c r="K537" s="348">
        <f t="shared" si="236"/>
        <v>13.243788657365831</v>
      </c>
      <c r="L537" s="349">
        <f t="shared" si="237"/>
        <v>1.4952172993505533</v>
      </c>
      <c r="M537" s="337">
        <f t="shared" si="221"/>
        <v>1.0030402823749722</v>
      </c>
      <c r="N537" s="340">
        <f t="shared" si="222"/>
        <v>7.7879388055851095E-2</v>
      </c>
      <c r="O537" s="341">
        <f t="shared" si="223"/>
        <v>1.0012409830528752</v>
      </c>
      <c r="P537" s="342">
        <f t="shared" si="224"/>
        <v>0.11801206657593587</v>
      </c>
      <c r="Q537" s="343">
        <f t="shared" si="225"/>
        <v>-4.5636781808718831</v>
      </c>
      <c r="R537" s="344">
        <f t="shared" si="226"/>
        <v>-67.232019215781406</v>
      </c>
      <c r="S537" s="346">
        <f t="shared" si="227"/>
        <v>112.76798078421859</v>
      </c>
      <c r="U537" s="319">
        <f t="shared" si="233"/>
        <v>79433</v>
      </c>
      <c r="V537" s="319">
        <f t="shared" si="234"/>
        <v>6309601489</v>
      </c>
      <c r="X537" s="345">
        <f t="shared" si="228"/>
        <v>4.928235996112817</v>
      </c>
      <c r="Y537" s="346">
        <f t="shared" si="229"/>
        <v>-8.7924198985043329</v>
      </c>
      <c r="AA537" s="345">
        <f t="shared" si="230"/>
        <v>28.726052836361564</v>
      </c>
      <c r="AB537" s="346">
        <f t="shared" si="231"/>
        <v>-58.439599317277072</v>
      </c>
      <c r="AD537">
        <f t="shared" si="235"/>
        <v>0</v>
      </c>
      <c r="AE537">
        <f t="shared" si="212"/>
        <v>0</v>
      </c>
    </row>
    <row r="538" spans="1:31" x14ac:dyDescent="0.2">
      <c r="A538" s="347">
        <v>79895.5</v>
      </c>
      <c r="B538" s="364">
        <f t="shared" si="232"/>
        <v>79.895499999999998</v>
      </c>
      <c r="C538" s="337">
        <f t="shared" si="213"/>
        <v>1.6282056809026579</v>
      </c>
      <c r="D538" s="338">
        <f t="shared" si="214"/>
        <v>0.90945869754496811</v>
      </c>
      <c r="E538" s="338">
        <f t="shared" si="215"/>
        <v>1.0000111333962829</v>
      </c>
      <c r="F538" s="339">
        <f t="shared" si="216"/>
        <v>4.7187483488959235E-3</v>
      </c>
      <c r="G538" s="338">
        <f t="shared" si="217"/>
        <v>1</v>
      </c>
      <c r="H538" s="339">
        <f t="shared" si="218"/>
        <v>0</v>
      </c>
      <c r="I538" s="337">
        <f t="shared" si="219"/>
        <v>578315.24514290539</v>
      </c>
      <c r="J538" s="340">
        <f t="shared" si="220"/>
        <v>1.5707945976341864</v>
      </c>
      <c r="K538" s="348">
        <f t="shared" si="236"/>
        <v>13.320462467097878</v>
      </c>
      <c r="L538" s="349">
        <f t="shared" si="237"/>
        <v>1.4956531622601443</v>
      </c>
      <c r="M538" s="337">
        <f t="shared" si="221"/>
        <v>1.0030757351989075</v>
      </c>
      <c r="N538" s="340">
        <f t="shared" si="222"/>
        <v>7.833099487362355E-2</v>
      </c>
      <c r="O538" s="341">
        <f t="shared" si="223"/>
        <v>1.0012556605769569</v>
      </c>
      <c r="P538" s="342">
        <f t="shared" si="224"/>
        <v>0.1187006815766974</v>
      </c>
      <c r="Q538" s="343">
        <f t="shared" si="225"/>
        <v>-4.5957339547944684</v>
      </c>
      <c r="R538" s="344">
        <f t="shared" si="226"/>
        <v>-67.432151327346105</v>
      </c>
      <c r="S538" s="346">
        <f t="shared" si="227"/>
        <v>112.56784867265389</v>
      </c>
      <c r="U538" s="319">
        <f t="shared" si="233"/>
        <v>79895.5</v>
      </c>
      <c r="V538" s="319">
        <f t="shared" si="234"/>
        <v>6383290920.25</v>
      </c>
      <c r="X538" s="345">
        <f t="shared" si="228"/>
        <v>4.9276431479172356</v>
      </c>
      <c r="Y538" s="346">
        <f t="shared" si="229"/>
        <v>-8.7933225348549868</v>
      </c>
      <c r="AA538" s="345">
        <f t="shared" si="230"/>
        <v>28.694589910634562</v>
      </c>
      <c r="AB538" s="346">
        <f t="shared" si="231"/>
        <v>-58.638828792491118</v>
      </c>
      <c r="AD538">
        <f t="shared" si="235"/>
        <v>0</v>
      </c>
      <c r="AE538">
        <f t="shared" ref="AE538:AE601" si="238">IF(AD538&gt;0,S538,0)</f>
        <v>0</v>
      </c>
    </row>
    <row r="539" spans="1:31" x14ac:dyDescent="0.2">
      <c r="A539" s="347">
        <v>80358</v>
      </c>
      <c r="B539" s="364">
        <f t="shared" si="232"/>
        <v>80.358000000000004</v>
      </c>
      <c r="C539" s="337">
        <f t="shared" si="213"/>
        <v>1.634082110816089</v>
      </c>
      <c r="D539" s="338">
        <f t="shared" si="214"/>
        <v>0.91225437746491878</v>
      </c>
      <c r="E539" s="338">
        <f t="shared" si="215"/>
        <v>1.0000112626669067</v>
      </c>
      <c r="F539" s="339">
        <f t="shared" si="216"/>
        <v>4.7460638852271676E-3</v>
      </c>
      <c r="G539" s="338">
        <f t="shared" si="217"/>
        <v>1</v>
      </c>
      <c r="H539" s="339">
        <f t="shared" si="218"/>
        <v>0</v>
      </c>
      <c r="I539" s="337">
        <f t="shared" si="219"/>
        <v>581663.00316279125</v>
      </c>
      <c r="J539" s="340">
        <f t="shared" si="220"/>
        <v>1.5707946075863608</v>
      </c>
      <c r="K539" s="348">
        <f t="shared" si="236"/>
        <v>13.39713877843846</v>
      </c>
      <c r="L539" s="349">
        <f t="shared" si="237"/>
        <v>1.4960840360720467</v>
      </c>
      <c r="M539" s="337">
        <f t="shared" si="221"/>
        <v>1.003111392584368</v>
      </c>
      <c r="N539" s="340">
        <f t="shared" si="222"/>
        <v>7.8782569677147363E-2</v>
      </c>
      <c r="O539" s="341">
        <f t="shared" si="223"/>
        <v>1.0012704275967101</v>
      </c>
      <c r="P539" s="342">
        <f t="shared" si="224"/>
        <v>0.11938932222128566</v>
      </c>
      <c r="Q539" s="343">
        <f t="shared" si="225"/>
        <v>-4.6277428379547194</v>
      </c>
      <c r="R539" s="344">
        <f t="shared" si="226"/>
        <v>-67.631409775114847</v>
      </c>
      <c r="S539" s="346">
        <f t="shared" si="227"/>
        <v>112.36859022488515</v>
      </c>
      <c r="U539" s="319">
        <f t="shared" si="233"/>
        <v>80358</v>
      </c>
      <c r="V539" s="319">
        <f t="shared" si="234"/>
        <v>6457408164</v>
      </c>
      <c r="X539" s="345">
        <f t="shared" si="228"/>
        <v>4.9270534423190373</v>
      </c>
      <c r="Y539" s="346">
        <f t="shared" si="229"/>
        <v>-8.7945091845255838</v>
      </c>
      <c r="AA539" s="345">
        <f t="shared" si="230"/>
        <v>28.663170733072505</v>
      </c>
      <c r="AB539" s="346">
        <f t="shared" si="231"/>
        <v>-58.836900590589252</v>
      </c>
      <c r="AD539">
        <f t="shared" si="235"/>
        <v>0</v>
      </c>
      <c r="AE539">
        <f t="shared" si="238"/>
        <v>0</v>
      </c>
    </row>
    <row r="540" spans="1:31" x14ac:dyDescent="0.2">
      <c r="A540" s="347">
        <v>80820.5</v>
      </c>
      <c r="B540" s="364">
        <f t="shared" si="232"/>
        <v>80.820499999999996</v>
      </c>
      <c r="C540" s="337">
        <f t="shared" si="213"/>
        <v>1.6399712208448831</v>
      </c>
      <c r="D540" s="338">
        <f t="shared" si="214"/>
        <v>0.91503000046672334</v>
      </c>
      <c r="E540" s="338">
        <f t="shared" si="215"/>
        <v>1.0000113926836773</v>
      </c>
      <c r="F540" s="339">
        <f t="shared" si="216"/>
        <v>4.7733794144759183E-3</v>
      </c>
      <c r="G540" s="338">
        <f t="shared" si="217"/>
        <v>1</v>
      </c>
      <c r="H540" s="339">
        <f t="shared" si="218"/>
        <v>0</v>
      </c>
      <c r="I540" s="337">
        <f t="shared" si="219"/>
        <v>585010.76118267723</v>
      </c>
      <c r="J540" s="340">
        <f t="shared" si="220"/>
        <v>1.5707946174246314</v>
      </c>
      <c r="K540" s="348">
        <f t="shared" si="236"/>
        <v>13.473817548679385</v>
      </c>
      <c r="L540" s="349">
        <f t="shared" si="237"/>
        <v>1.4965100058029519</v>
      </c>
      <c r="M540" s="337">
        <f t="shared" si="221"/>
        <v>1.0031472545095401</v>
      </c>
      <c r="N540" s="340">
        <f t="shared" si="222"/>
        <v>7.9234112285676173E-2</v>
      </c>
      <c r="O540" s="341">
        <f t="shared" si="223"/>
        <v>1.001285284186334</v>
      </c>
      <c r="P540" s="342">
        <f t="shared" si="224"/>
        <v>0.12007798865039988</v>
      </c>
      <c r="Q540" s="343">
        <f t="shared" si="225"/>
        <v>-4.6597042867771918</v>
      </c>
      <c r="R540" s="344">
        <f t="shared" si="226"/>
        <v>-67.829799655853094</v>
      </c>
      <c r="S540" s="346">
        <f t="shared" si="227"/>
        <v>112.17020034414691</v>
      </c>
      <c r="U540" s="319">
        <f t="shared" si="233"/>
        <v>80820.5</v>
      </c>
      <c r="V540" s="319">
        <f t="shared" si="234"/>
        <v>6531953220.25</v>
      </c>
      <c r="X540" s="345">
        <f t="shared" si="228"/>
        <v>4.9264667683016174</v>
      </c>
      <c r="Y540" s="346">
        <f t="shared" si="229"/>
        <v>-8.795974966176475</v>
      </c>
      <c r="AA540" s="345">
        <f t="shared" si="230"/>
        <v>28.631795958267453</v>
      </c>
      <c r="AB540" s="346">
        <f t="shared" si="231"/>
        <v>-59.033824689676585</v>
      </c>
      <c r="AD540">
        <f t="shared" si="235"/>
        <v>0</v>
      </c>
      <c r="AE540">
        <f t="shared" si="238"/>
        <v>0</v>
      </c>
    </row>
    <row r="541" spans="1:31" x14ac:dyDescent="0.2">
      <c r="A541" s="347">
        <v>81283</v>
      </c>
      <c r="B541" s="364">
        <f t="shared" si="232"/>
        <v>81.283000000000001</v>
      </c>
      <c r="C541" s="337">
        <f t="shared" si="213"/>
        <v>1.6458728748765989</v>
      </c>
      <c r="D541" s="338">
        <f t="shared" si="214"/>
        <v>0.91778573930883511</v>
      </c>
      <c r="E541" s="338">
        <f t="shared" si="215"/>
        <v>1.0000115234465943</v>
      </c>
      <c r="F541" s="339">
        <f t="shared" si="216"/>
        <v>4.8006949366014157E-3</v>
      </c>
      <c r="G541" s="338">
        <f t="shared" si="217"/>
        <v>1</v>
      </c>
      <c r="H541" s="339">
        <f t="shared" si="218"/>
        <v>0</v>
      </c>
      <c r="I541" s="337">
        <f t="shared" si="219"/>
        <v>588358.51920256321</v>
      </c>
      <c r="J541" s="340">
        <f t="shared" si="220"/>
        <v>1.5707946271509425</v>
      </c>
      <c r="K541" s="348">
        <f t="shared" si="236"/>
        <v>13.55049873607781</v>
      </c>
      <c r="L541" s="349">
        <f t="shared" si="237"/>
        <v>1.4969311545523538</v>
      </c>
      <c r="M541" s="337">
        <f t="shared" si="221"/>
        <v>1.0031833209524876</v>
      </c>
      <c r="N541" s="340">
        <f t="shared" si="222"/>
        <v>7.9685622518541929E-2</v>
      </c>
      <c r="O541" s="341">
        <f t="shared" si="223"/>
        <v>1.0013002304204508</v>
      </c>
      <c r="P541" s="342">
        <f t="shared" si="224"/>
        <v>0.12076668100460512</v>
      </c>
      <c r="Q541" s="343">
        <f t="shared" si="225"/>
        <v>-4.6916177741011866</v>
      </c>
      <c r="R541" s="344">
        <f t="shared" si="226"/>
        <v>-68.027326104456776</v>
      </c>
      <c r="S541" s="346">
        <f t="shared" si="227"/>
        <v>111.97267389554322</v>
      </c>
      <c r="U541" s="319">
        <f t="shared" si="233"/>
        <v>81283</v>
      </c>
      <c r="V541" s="319">
        <f t="shared" si="234"/>
        <v>6606926089</v>
      </c>
      <c r="X541" s="345">
        <f t="shared" si="228"/>
        <v>4.9258830179932342</v>
      </c>
      <c r="Y541" s="346">
        <f t="shared" si="229"/>
        <v>-8.7977151083172718</v>
      </c>
      <c r="AA541" s="345">
        <f t="shared" si="230"/>
        <v>28.600466221251839</v>
      </c>
      <c r="AB541" s="346">
        <f t="shared" si="231"/>
        <v>-59.229610996139471</v>
      </c>
      <c r="AD541">
        <f t="shared" si="235"/>
        <v>0</v>
      </c>
      <c r="AE541">
        <f t="shared" si="238"/>
        <v>0</v>
      </c>
    </row>
    <row r="542" spans="1:31" x14ac:dyDescent="0.2">
      <c r="A542" s="347">
        <v>81756.25</v>
      </c>
      <c r="B542" s="364">
        <f t="shared" si="232"/>
        <v>81.756249999999994</v>
      </c>
      <c r="C542" s="337">
        <f t="shared" si="213"/>
        <v>1.6519245469773445</v>
      </c>
      <c r="D542" s="338">
        <f t="shared" si="214"/>
        <v>0.92058512656334579</v>
      </c>
      <c r="E542" s="338">
        <f t="shared" si="215"/>
        <v>1.0000116580212275</v>
      </c>
      <c r="F542" s="339">
        <f t="shared" si="216"/>
        <v>4.8286453526359451E-3</v>
      </c>
      <c r="G542" s="338">
        <f t="shared" si="217"/>
        <v>1</v>
      </c>
      <c r="H542" s="339">
        <f t="shared" si="218"/>
        <v>0</v>
      </c>
      <c r="I542" s="337">
        <f t="shared" si="219"/>
        <v>591784.08997642517</v>
      </c>
      <c r="J542" s="340">
        <f t="shared" si="220"/>
        <v>1.5707946369894137</v>
      </c>
      <c r="K542" s="348">
        <f t="shared" si="236"/>
        <v>13.628964702491475</v>
      </c>
      <c r="L542" s="349">
        <f t="shared" si="237"/>
        <v>1.4973571865285709</v>
      </c>
      <c r="M542" s="337">
        <f t="shared" si="221"/>
        <v>1.0032204373770368</v>
      </c>
      <c r="N542" s="340">
        <f t="shared" si="222"/>
        <v>8.0147593612013193E-2</v>
      </c>
      <c r="O542" s="341">
        <f t="shared" si="223"/>
        <v>1.0013156169259596</v>
      </c>
      <c r="P542" s="342">
        <f t="shared" si="224"/>
        <v>0.1214714077851772</v>
      </c>
      <c r="Q542" s="343">
        <f t="shared" si="225"/>
        <v>-4.7242228547512504</v>
      </c>
      <c r="R542" s="344">
        <f t="shared" si="226"/>
        <v>-68.228555332396041</v>
      </c>
      <c r="S542" s="346">
        <f t="shared" si="227"/>
        <v>111.77144466760396</v>
      </c>
      <c r="U542" s="319">
        <f t="shared" si="233"/>
        <v>81756.25</v>
      </c>
      <c r="V542" s="319">
        <f t="shared" si="234"/>
        <v>6684084414.0625</v>
      </c>
      <c r="X542" s="345">
        <f t="shared" si="228"/>
        <v>4.9252886165292367</v>
      </c>
      <c r="Y542" s="346">
        <f t="shared" si="229"/>
        <v>-8.7997748317606028</v>
      </c>
      <c r="AA542" s="345">
        <f t="shared" si="230"/>
        <v>28.568455542065774</v>
      </c>
      <c r="AB542" s="346">
        <f t="shared" si="231"/>
        <v>-59.428780500635447</v>
      </c>
      <c r="AD542">
        <f t="shared" si="235"/>
        <v>0</v>
      </c>
      <c r="AE542">
        <f t="shared" si="238"/>
        <v>0</v>
      </c>
    </row>
    <row r="543" spans="1:31" x14ac:dyDescent="0.2">
      <c r="A543" s="347">
        <v>82229.5</v>
      </c>
      <c r="B543" s="364">
        <f t="shared" si="232"/>
        <v>82.229500000000002</v>
      </c>
      <c r="C543" s="337">
        <f t="shared" si="213"/>
        <v>1.6579890699381001</v>
      </c>
      <c r="D543" s="338">
        <f t="shared" si="214"/>
        <v>0.92336405649984699</v>
      </c>
      <c r="E543" s="338">
        <f t="shared" si="215"/>
        <v>1.0000117933770953</v>
      </c>
      <c r="F543" s="339">
        <f t="shared" si="216"/>
        <v>4.8565957611258932E-3</v>
      </c>
      <c r="G543" s="338">
        <f t="shared" si="217"/>
        <v>1</v>
      </c>
      <c r="H543" s="339">
        <f t="shared" si="218"/>
        <v>0</v>
      </c>
      <c r="I543" s="337">
        <f t="shared" si="219"/>
        <v>595209.660750287</v>
      </c>
      <c r="J543" s="340">
        <f t="shared" si="220"/>
        <v>1.5707946467146392</v>
      </c>
      <c r="K543" s="348">
        <f t="shared" si="236"/>
        <v>13.707433114285593</v>
      </c>
      <c r="L543" s="349">
        <f t="shared" si="237"/>
        <v>1.497778340927294</v>
      </c>
      <c r="M543" s="337">
        <f t="shared" si="221"/>
        <v>1.0032577678903056</v>
      </c>
      <c r="N543" s="340">
        <f t="shared" si="222"/>
        <v>8.0609530424827172E-2</v>
      </c>
      <c r="O543" s="341">
        <f t="shared" si="223"/>
        <v>1.0013310974510825</v>
      </c>
      <c r="P543" s="342">
        <f t="shared" si="224"/>
        <v>0.12217616200735065</v>
      </c>
      <c r="Q543" s="343">
        <f t="shared" si="225"/>
        <v>-4.7567766530661384</v>
      </c>
      <c r="R543" s="344">
        <f t="shared" si="226"/>
        <v>-68.428891509051596</v>
      </c>
      <c r="S543" s="346">
        <f t="shared" si="227"/>
        <v>111.5711084909484</v>
      </c>
      <c r="U543" s="319">
        <f t="shared" si="233"/>
        <v>82229.5</v>
      </c>
      <c r="V543" s="319">
        <f t="shared" si="234"/>
        <v>6761690670.25</v>
      </c>
      <c r="X543" s="345">
        <f t="shared" si="228"/>
        <v>4.9246970573850293</v>
      </c>
      <c r="Y543" s="346">
        <f t="shared" si="229"/>
        <v>-8.8021120491833997</v>
      </c>
      <c r="AA543" s="345">
        <f t="shared" si="230"/>
        <v>28.536493302895096</v>
      </c>
      <c r="AB543" s="346">
        <f t="shared" si="231"/>
        <v>-59.626779459868189</v>
      </c>
      <c r="AD543">
        <f t="shared" si="235"/>
        <v>0</v>
      </c>
      <c r="AE543">
        <f t="shared" si="238"/>
        <v>0</v>
      </c>
    </row>
    <row r="544" spans="1:31" x14ac:dyDescent="0.2">
      <c r="A544" s="347">
        <v>82702.75</v>
      </c>
      <c r="B544" s="364">
        <f t="shared" si="232"/>
        <v>82.702749999999995</v>
      </c>
      <c r="C544" s="337">
        <f t="shared" si="213"/>
        <v>1.6640663032578555</v>
      </c>
      <c r="D544" s="338">
        <f t="shared" si="214"/>
        <v>0.92612271009528524</v>
      </c>
      <c r="E544" s="338">
        <f t="shared" si="215"/>
        <v>1.0000119295141976</v>
      </c>
      <c r="F544" s="339">
        <f t="shared" si="216"/>
        <v>4.8845461620275936E-3</v>
      </c>
      <c r="G544" s="338">
        <f t="shared" si="217"/>
        <v>1</v>
      </c>
      <c r="H544" s="339">
        <f t="shared" si="218"/>
        <v>0</v>
      </c>
      <c r="I544" s="337">
        <f t="shared" si="219"/>
        <v>598635.23152414896</v>
      </c>
      <c r="J544" s="340">
        <f t="shared" si="220"/>
        <v>1.5707946563285637</v>
      </c>
      <c r="K544" s="348">
        <f t="shared" si="236"/>
        <v>13.785903929703359</v>
      </c>
      <c r="L544" s="349">
        <f t="shared" si="237"/>
        <v>1.4981947008888838</v>
      </c>
      <c r="M544" s="337">
        <f t="shared" si="221"/>
        <v>1.0032953124683968</v>
      </c>
      <c r="N544" s="340">
        <f t="shared" si="222"/>
        <v>8.1071432763680104E-2</v>
      </c>
      <c r="O544" s="341">
        <f t="shared" si="223"/>
        <v>1.0013466720771405</v>
      </c>
      <c r="P544" s="342">
        <f t="shared" si="224"/>
        <v>0.1228809438212803</v>
      </c>
      <c r="Q544" s="343">
        <f t="shared" si="225"/>
        <v>-4.7892786557179328</v>
      </c>
      <c r="R544" s="344">
        <f t="shared" si="226"/>
        <v>-68.628340237688548</v>
      </c>
      <c r="S544" s="346">
        <f t="shared" si="227"/>
        <v>111.37165976231145</v>
      </c>
      <c r="U544" s="319">
        <f t="shared" si="233"/>
        <v>82702.75</v>
      </c>
      <c r="V544" s="319">
        <f t="shared" si="234"/>
        <v>6839744857.5625</v>
      </c>
      <c r="X544" s="345">
        <f t="shared" si="228"/>
        <v>4.9241082345402383</v>
      </c>
      <c r="Y544" s="346">
        <f t="shared" si="229"/>
        <v>-8.8047219860298558</v>
      </c>
      <c r="AA544" s="345">
        <f t="shared" si="230"/>
        <v>28.50458012308809</v>
      </c>
      <c r="AB544" s="346">
        <f t="shared" si="231"/>
        <v>-59.823618251658694</v>
      </c>
      <c r="AD544">
        <f t="shared" si="235"/>
        <v>0</v>
      </c>
      <c r="AE544">
        <f t="shared" si="238"/>
        <v>0</v>
      </c>
    </row>
    <row r="545" spans="1:31" x14ac:dyDescent="0.2">
      <c r="A545" s="347">
        <v>83176</v>
      </c>
      <c r="B545" s="364">
        <f t="shared" si="232"/>
        <v>83.176000000000002</v>
      </c>
      <c r="C545" s="337">
        <f t="shared" si="213"/>
        <v>1.6701561081882383</v>
      </c>
      <c r="D545" s="338">
        <f t="shared" si="214"/>
        <v>0.92886126692978821</v>
      </c>
      <c r="E545" s="338">
        <f t="shared" si="215"/>
        <v>1.000012066432534</v>
      </c>
      <c r="F545" s="339">
        <f t="shared" si="216"/>
        <v>4.9124965552973764E-3</v>
      </c>
      <c r="G545" s="338">
        <f t="shared" si="217"/>
        <v>1</v>
      </c>
      <c r="H545" s="339">
        <f t="shared" si="218"/>
        <v>0</v>
      </c>
      <c r="I545" s="337">
        <f t="shared" si="219"/>
        <v>602060.80229801091</v>
      </c>
      <c r="J545" s="340">
        <f t="shared" si="220"/>
        <v>1.5707946658330865</v>
      </c>
      <c r="K545" s="348">
        <f t="shared" si="236"/>
        <v>13.864377107932055</v>
      </c>
      <c r="L545" s="349">
        <f t="shared" si="237"/>
        <v>1.4986063476781206</v>
      </c>
      <c r="M545" s="337">
        <f t="shared" si="221"/>
        <v>1.003333071087279</v>
      </c>
      <c r="N545" s="340">
        <f t="shared" si="222"/>
        <v>8.1533300435355921E-2</v>
      </c>
      <c r="O545" s="341">
        <f t="shared" si="223"/>
        <v>1.0013623408859178</v>
      </c>
      <c r="P545" s="342">
        <f t="shared" si="224"/>
        <v>0.12358575337697046</v>
      </c>
      <c r="Q545" s="343">
        <f t="shared" si="225"/>
        <v>-4.8217283660860168</v>
      </c>
      <c r="R545" s="344">
        <f t="shared" si="226"/>
        <v>-68.826907148996838</v>
      </c>
      <c r="S545" s="346">
        <f t="shared" si="227"/>
        <v>111.17309285100316</v>
      </c>
      <c r="U545" s="319">
        <f t="shared" si="233"/>
        <v>83176</v>
      </c>
      <c r="V545" s="319">
        <f t="shared" si="234"/>
        <v>6918246976</v>
      </c>
      <c r="X545" s="345">
        <f t="shared" si="228"/>
        <v>4.9235220449802082</v>
      </c>
      <c r="Y545" s="346">
        <f t="shared" si="229"/>
        <v>-8.8075999752093672</v>
      </c>
      <c r="AA545" s="345">
        <f t="shared" si="230"/>
        <v>28.472716602280038</v>
      </c>
      <c r="AB545" s="346">
        <f t="shared" si="231"/>
        <v>-60.019307173787475</v>
      </c>
      <c r="AD545">
        <f t="shared" si="235"/>
        <v>0</v>
      </c>
      <c r="AE545">
        <f t="shared" si="238"/>
        <v>0</v>
      </c>
    </row>
    <row r="546" spans="1:31" x14ac:dyDescent="0.2">
      <c r="A546" s="347">
        <v>83660.5</v>
      </c>
      <c r="B546" s="364">
        <f t="shared" si="232"/>
        <v>83.660499999999999</v>
      </c>
      <c r="C546" s="337">
        <f t="shared" si="213"/>
        <v>1.6764035590691964</v>
      </c>
      <c r="D546" s="338">
        <f t="shared" si="214"/>
        <v>0.93164429115794078</v>
      </c>
      <c r="E546" s="338">
        <f t="shared" si="215"/>
        <v>1.0000122074149758</v>
      </c>
      <c r="F546" s="339">
        <f t="shared" si="216"/>
        <v>4.9411113715171701E-3</v>
      </c>
      <c r="G546" s="338">
        <f t="shared" si="217"/>
        <v>1</v>
      </c>
      <c r="H546" s="339">
        <f t="shared" si="218"/>
        <v>0</v>
      </c>
      <c r="I546" s="337">
        <f t="shared" si="219"/>
        <v>605567.80502370815</v>
      </c>
      <c r="J546" s="340">
        <f t="shared" si="220"/>
        <v>1.570794675452154</v>
      </c>
      <c r="K546" s="348">
        <f t="shared" si="236"/>
        <v>13.944718140217681</v>
      </c>
      <c r="L546" s="349">
        <f t="shared" si="237"/>
        <v>1.4990229804217519</v>
      </c>
      <c r="M546" s="337">
        <f t="shared" si="221"/>
        <v>1.0033719490043866</v>
      </c>
      <c r="N546" s="340">
        <f t="shared" si="222"/>
        <v>8.2006111413926538E-2</v>
      </c>
      <c r="O546" s="341">
        <f t="shared" si="223"/>
        <v>1.0013784798238885</v>
      </c>
      <c r="P546" s="342">
        <f t="shared" si="224"/>
        <v>0.12430734641325185</v>
      </c>
      <c r="Q546" s="343">
        <f t="shared" si="225"/>
        <v>-4.8548947911667524</v>
      </c>
      <c r="R546" s="344">
        <f t="shared" si="226"/>
        <v>-69.029286745982375</v>
      </c>
      <c r="S546" s="346">
        <f t="shared" si="227"/>
        <v>110.97071325401762</v>
      </c>
      <c r="U546" s="319">
        <f t="shared" si="233"/>
        <v>83660.5</v>
      </c>
      <c r="V546" s="319">
        <f t="shared" si="234"/>
        <v>6999079260.25</v>
      </c>
      <c r="X546" s="345">
        <f t="shared" si="228"/>
        <v>4.9229245440579872</v>
      </c>
      <c r="Y546" s="346">
        <f t="shared" si="229"/>
        <v>-8.8108193021075358</v>
      </c>
      <c r="AA546" s="345">
        <f t="shared" si="230"/>
        <v>28.440147678121519</v>
      </c>
      <c r="AB546" s="346">
        <f t="shared" si="231"/>
        <v>-60.218467443874857</v>
      </c>
      <c r="AD546">
        <f t="shared" si="235"/>
        <v>0</v>
      </c>
      <c r="AE546">
        <f t="shared" si="238"/>
        <v>0</v>
      </c>
    </row>
    <row r="547" spans="1:31" x14ac:dyDescent="0.2">
      <c r="A547" s="347">
        <v>84145</v>
      </c>
      <c r="B547" s="364">
        <f t="shared" si="232"/>
        <v>84.144999999999996</v>
      </c>
      <c r="C547" s="337">
        <f t="shared" si="213"/>
        <v>1.6826638975968218</v>
      </c>
      <c r="D547" s="338">
        <f t="shared" si="214"/>
        <v>0.93440662820674381</v>
      </c>
      <c r="E547" s="338">
        <f t="shared" si="215"/>
        <v>1.0000123492162349</v>
      </c>
      <c r="F547" s="339">
        <f t="shared" si="216"/>
        <v>4.969726179645262E-3</v>
      </c>
      <c r="G547" s="338">
        <f t="shared" si="217"/>
        <v>1</v>
      </c>
      <c r="H547" s="339">
        <f t="shared" si="218"/>
        <v>0</v>
      </c>
      <c r="I547" s="337">
        <f t="shared" si="219"/>
        <v>609074.80774940515</v>
      </c>
      <c r="J547" s="340">
        <f t="shared" si="220"/>
        <v>1.5707946849604499</v>
      </c>
      <c r="K547" s="348">
        <f t="shared" si="236"/>
        <v>14.025061565335013</v>
      </c>
      <c r="L547" s="349">
        <f t="shared" si="237"/>
        <v>1.4994348398237587</v>
      </c>
      <c r="M547" s="337">
        <f t="shared" si="221"/>
        <v>1.0034110512081047</v>
      </c>
      <c r="N547" s="340">
        <f t="shared" si="222"/>
        <v>8.2478885647974634E-2</v>
      </c>
      <c r="O547" s="341">
        <f t="shared" si="223"/>
        <v>1.0013947176505458</v>
      </c>
      <c r="P547" s="342">
        <f t="shared" si="224"/>
        <v>0.12502896884360523</v>
      </c>
      <c r="Q547" s="343">
        <f t="shared" si="225"/>
        <v>-4.8880054071317609</v>
      </c>
      <c r="R547" s="344">
        <f t="shared" si="226"/>
        <v>-69.230754120196494</v>
      </c>
      <c r="S547" s="346">
        <f t="shared" si="227"/>
        <v>110.76924587980351</v>
      </c>
      <c r="U547" s="319">
        <f t="shared" si="233"/>
        <v>84145</v>
      </c>
      <c r="V547" s="319">
        <f t="shared" si="234"/>
        <v>7080381025</v>
      </c>
      <c r="X547" s="345">
        <f t="shared" si="228"/>
        <v>4.9223295938167304</v>
      </c>
      <c r="Y547" s="346">
        <f t="shared" si="229"/>
        <v>-8.81431000968246</v>
      </c>
      <c r="AA547" s="345">
        <f t="shared" si="230"/>
        <v>28.407632012397769</v>
      </c>
      <c r="AB547" s="346">
        <f t="shared" si="231"/>
        <v>-60.416444110514028</v>
      </c>
      <c r="AD547">
        <f t="shared" si="235"/>
        <v>0</v>
      </c>
      <c r="AE547">
        <f t="shared" si="238"/>
        <v>0</v>
      </c>
    </row>
    <row r="548" spans="1:31" x14ac:dyDescent="0.2">
      <c r="A548" s="347">
        <v>84629.5</v>
      </c>
      <c r="B548" s="364">
        <f t="shared" si="232"/>
        <v>84.629499999999993</v>
      </c>
      <c r="C548" s="337">
        <f t="shared" si="213"/>
        <v>1.6889369804602119</v>
      </c>
      <c r="D548" s="338">
        <f t="shared" si="214"/>
        <v>0.9371484661950491</v>
      </c>
      <c r="E548" s="338">
        <f t="shared" si="215"/>
        <v>1.0000124918363114</v>
      </c>
      <c r="F548" s="339">
        <f t="shared" si="216"/>
        <v>4.9983409796347921E-3</v>
      </c>
      <c r="G548" s="338">
        <f t="shared" si="217"/>
        <v>1</v>
      </c>
      <c r="H548" s="339">
        <f t="shared" si="218"/>
        <v>0</v>
      </c>
      <c r="I548" s="337">
        <f t="shared" si="219"/>
        <v>612581.81047510239</v>
      </c>
      <c r="J548" s="340">
        <f t="shared" si="220"/>
        <v>1.5707946943598767</v>
      </c>
      <c r="K548" s="348">
        <f t="shared" si="236"/>
        <v>14.105407342395841</v>
      </c>
      <c r="L548" s="349">
        <f t="shared" si="237"/>
        <v>1.4998420073114669</v>
      </c>
      <c r="M548" s="337">
        <f t="shared" si="221"/>
        <v>1.0034503776722135</v>
      </c>
      <c r="N548" s="340">
        <f t="shared" si="222"/>
        <v>8.2951622930463431E-2</v>
      </c>
      <c r="O548" s="341">
        <f t="shared" si="223"/>
        <v>1.0014110544551527</v>
      </c>
      <c r="P548" s="342">
        <f t="shared" si="224"/>
        <v>0.12575062082849281</v>
      </c>
      <c r="Q548" s="343">
        <f t="shared" si="225"/>
        <v>-4.9210597334359774</v>
      </c>
      <c r="R548" s="344">
        <f t="shared" si="226"/>
        <v>-69.431315382056411</v>
      </c>
      <c r="S548" s="346">
        <f t="shared" si="227"/>
        <v>110.56868461794359</v>
      </c>
      <c r="U548" s="319">
        <f t="shared" si="233"/>
        <v>84629.5</v>
      </c>
      <c r="V548" s="319">
        <f t="shared" si="234"/>
        <v>7162152270.25</v>
      </c>
      <c r="X548" s="345">
        <f t="shared" si="228"/>
        <v>4.921737092862438</v>
      </c>
      <c r="Y548" s="346">
        <f t="shared" si="229"/>
        <v>-8.8180674207387089</v>
      </c>
      <c r="AA548" s="345">
        <f t="shared" si="230"/>
        <v>28.375170187047843</v>
      </c>
      <c r="AB548" s="346">
        <f t="shared" si="231"/>
        <v>-60.613247961317732</v>
      </c>
      <c r="AD548">
        <f t="shared" si="235"/>
        <v>0</v>
      </c>
      <c r="AE548">
        <f t="shared" si="238"/>
        <v>0</v>
      </c>
    </row>
    <row r="549" spans="1:31" x14ac:dyDescent="0.2">
      <c r="A549" s="347">
        <v>85114</v>
      </c>
      <c r="B549" s="364">
        <f t="shared" si="232"/>
        <v>85.114000000000004</v>
      </c>
      <c r="C549" s="337">
        <f t="shared" si="213"/>
        <v>1.6952226661801282</v>
      </c>
      <c r="D549" s="338">
        <f t="shared" si="214"/>
        <v>0.93986999169296204</v>
      </c>
      <c r="E549" s="338">
        <f t="shared" si="215"/>
        <v>1.0000126352752043</v>
      </c>
      <c r="F549" s="339">
        <f t="shared" si="216"/>
        <v>5.0269557714389072E-3</v>
      </c>
      <c r="G549" s="338">
        <f t="shared" si="217"/>
        <v>1</v>
      </c>
      <c r="H549" s="339">
        <f t="shared" si="218"/>
        <v>0</v>
      </c>
      <c r="I549" s="337">
        <f t="shared" si="219"/>
        <v>616088.81320079975</v>
      </c>
      <c r="J549" s="340">
        <f t="shared" si="220"/>
        <v>1.5707947036522936</v>
      </c>
      <c r="K549" s="348">
        <f t="shared" si="236"/>
        <v>14.185755431437105</v>
      </c>
      <c r="L549" s="349">
        <f t="shared" si="237"/>
        <v>1.50024456247369</v>
      </c>
      <c r="M549" s="337">
        <f t="shared" si="221"/>
        <v>1.0034899283703469</v>
      </c>
      <c r="N549" s="340">
        <f t="shared" si="222"/>
        <v>8.342432305445463E-2</v>
      </c>
      <c r="O549" s="341">
        <f t="shared" si="223"/>
        <v>1.0014274903274809</v>
      </c>
      <c r="P549" s="342">
        <f t="shared" si="224"/>
        <v>0.1264723025282076</v>
      </c>
      <c r="Q549" s="343">
        <f t="shared" si="225"/>
        <v>-4.9540573064942715</v>
      </c>
      <c r="R549" s="344">
        <f t="shared" si="226"/>
        <v>-69.630976658575378</v>
      </c>
      <c r="S549" s="346">
        <f t="shared" si="227"/>
        <v>110.36902334142462</v>
      </c>
      <c r="U549" s="319">
        <f t="shared" si="233"/>
        <v>85114</v>
      </c>
      <c r="V549" s="319">
        <f t="shared" si="234"/>
        <v>7244392996</v>
      </c>
      <c r="X549" s="345">
        <f t="shared" si="228"/>
        <v>4.9211469426796173</v>
      </c>
      <c r="Y549" s="346">
        <f t="shared" si="229"/>
        <v>-8.8220869634229899</v>
      </c>
      <c r="AA549" s="345">
        <f t="shared" si="230"/>
        <v>28.342762764172377</v>
      </c>
      <c r="AB549" s="346">
        <f t="shared" si="231"/>
        <v>-60.808889695152395</v>
      </c>
      <c r="AD549">
        <f t="shared" si="235"/>
        <v>0</v>
      </c>
      <c r="AE549">
        <f t="shared" si="238"/>
        <v>0</v>
      </c>
    </row>
    <row r="550" spans="1:31" x14ac:dyDescent="0.2">
      <c r="A550" s="347">
        <v>85609.5</v>
      </c>
      <c r="B550" s="364">
        <f t="shared" si="232"/>
        <v>85.609499999999997</v>
      </c>
      <c r="C550" s="337">
        <f t="shared" si="213"/>
        <v>1.7016639507249933</v>
      </c>
      <c r="D550" s="338">
        <f t="shared" si="214"/>
        <v>0.94263248953667211</v>
      </c>
      <c r="E550" s="338">
        <f t="shared" si="215"/>
        <v>1.0000127828176208</v>
      </c>
      <c r="F550" s="339">
        <f t="shared" si="216"/>
        <v>5.0562202197637031E-3</v>
      </c>
      <c r="G550" s="338">
        <f t="shared" si="217"/>
        <v>1</v>
      </c>
      <c r="H550" s="339">
        <f t="shared" si="218"/>
        <v>0</v>
      </c>
      <c r="I550" s="337">
        <f t="shared" si="219"/>
        <v>619675.43827940244</v>
      </c>
      <c r="J550" s="340">
        <f t="shared" si="220"/>
        <v>1.5707947130468953</v>
      </c>
      <c r="K550" s="348">
        <f t="shared" si="236"/>
        <v>14.267930079505886</v>
      </c>
      <c r="L550" s="349">
        <f t="shared" si="237"/>
        <v>1.5006515676550041</v>
      </c>
      <c r="M550" s="337">
        <f t="shared" si="221"/>
        <v>1.0035306089209863</v>
      </c>
      <c r="N550" s="340">
        <f t="shared" si="222"/>
        <v>8.3907716627114701E-2</v>
      </c>
      <c r="O550" s="341">
        <f t="shared" si="223"/>
        <v>1.0014444019180337</v>
      </c>
      <c r="P550" s="342">
        <f t="shared" si="224"/>
        <v>0.12721040005946868</v>
      </c>
      <c r="Q550" s="343">
        <f t="shared" si="225"/>
        <v>-4.9877448841048198</v>
      </c>
      <c r="R550" s="344">
        <f t="shared" si="226"/>
        <v>-69.834246540896643</v>
      </c>
      <c r="S550" s="346">
        <f t="shared" si="227"/>
        <v>110.16575345910336</v>
      </c>
      <c r="U550" s="319">
        <f t="shared" si="233"/>
        <v>85609.5</v>
      </c>
      <c r="V550" s="319">
        <f t="shared" si="234"/>
        <v>7328986490.25</v>
      </c>
      <c r="X550" s="345">
        <f t="shared" si="228"/>
        <v>4.9205457255166714</v>
      </c>
      <c r="Y550" s="346">
        <f t="shared" si="229"/>
        <v>-8.8264642341269397</v>
      </c>
      <c r="AA550" s="345">
        <f t="shared" si="230"/>
        <v>28.309676403724772</v>
      </c>
      <c r="AB550" s="346">
        <f t="shared" si="231"/>
        <v>-61.007782306769734</v>
      </c>
      <c r="AD550">
        <f t="shared" si="235"/>
        <v>0</v>
      </c>
      <c r="AE550">
        <f t="shared" si="238"/>
        <v>0</v>
      </c>
    </row>
    <row r="551" spans="1:31" x14ac:dyDescent="0.2">
      <c r="A551" s="347">
        <v>86105</v>
      </c>
      <c r="B551" s="364">
        <f t="shared" si="232"/>
        <v>86.105000000000004</v>
      </c>
      <c r="C551" s="337">
        <f t="shared" si="213"/>
        <v>1.7081181233404479</v>
      </c>
      <c r="D551" s="338">
        <f t="shared" si="214"/>
        <v>0.94537413181910201</v>
      </c>
      <c r="E551" s="338">
        <f t="shared" si="215"/>
        <v>1.0000129312164561</v>
      </c>
      <c r="F551" s="339">
        <f t="shared" si="216"/>
        <v>5.0854846594280542E-3</v>
      </c>
      <c r="G551" s="338">
        <f t="shared" si="217"/>
        <v>1</v>
      </c>
      <c r="H551" s="339">
        <f t="shared" si="218"/>
        <v>0</v>
      </c>
      <c r="I551" s="337">
        <f t="shared" si="219"/>
        <v>623262.06335800525</v>
      </c>
      <c r="J551" s="340">
        <f t="shared" si="220"/>
        <v>1.5707947223333727</v>
      </c>
      <c r="K551" s="348">
        <f t="shared" si="236"/>
        <v>14.350107064033883</v>
      </c>
      <c r="L551" s="349">
        <f t="shared" si="237"/>
        <v>1.5010539114097967</v>
      </c>
      <c r="M551" s="337">
        <f t="shared" si="221"/>
        <v>1.0035715239469241</v>
      </c>
      <c r="N551" s="340">
        <f t="shared" si="222"/>
        <v>8.4391070897363946E-2</v>
      </c>
      <c r="O551" s="341">
        <f t="shared" si="223"/>
        <v>1.0014614173173511</v>
      </c>
      <c r="P551" s="342">
        <f t="shared" si="224"/>
        <v>0.12794852900872286</v>
      </c>
      <c r="Q551" s="343">
        <f t="shared" si="225"/>
        <v>-5.0213721742538109</v>
      </c>
      <c r="R551" s="344">
        <f t="shared" si="226"/>
        <v>-70.036588110199645</v>
      </c>
      <c r="S551" s="346">
        <f t="shared" si="227"/>
        <v>109.96341188980035</v>
      </c>
      <c r="U551" s="319">
        <f t="shared" si="233"/>
        <v>86105</v>
      </c>
      <c r="V551" s="319">
        <f t="shared" si="234"/>
        <v>7414071025</v>
      </c>
      <c r="X551" s="345">
        <f t="shared" si="228"/>
        <v>4.9199467674643742</v>
      </c>
      <c r="Y551" s="346">
        <f t="shared" si="229"/>
        <v>-8.8311063268400396</v>
      </c>
      <c r="AA551" s="345">
        <f t="shared" si="230"/>
        <v>28.276648071628077</v>
      </c>
      <c r="AB551" s="346">
        <f t="shared" si="231"/>
        <v>-61.205481783359588</v>
      </c>
      <c r="AD551">
        <f t="shared" si="235"/>
        <v>0</v>
      </c>
      <c r="AE551">
        <f t="shared" si="238"/>
        <v>0</v>
      </c>
    </row>
    <row r="552" spans="1:31" x14ac:dyDescent="0.2">
      <c r="A552" s="347">
        <v>86600.5</v>
      </c>
      <c r="B552" s="364">
        <f t="shared" si="232"/>
        <v>86.600499999999997</v>
      </c>
      <c r="C552" s="337">
        <f t="shared" si="213"/>
        <v>1.7145850384837034</v>
      </c>
      <c r="D552" s="338">
        <f t="shared" si="214"/>
        <v>0.94809511307422956</v>
      </c>
      <c r="E552" s="338">
        <f t="shared" si="215"/>
        <v>1.0000130804717093</v>
      </c>
      <c r="F552" s="339">
        <f t="shared" si="216"/>
        <v>5.1147490903818392E-3</v>
      </c>
      <c r="G552" s="338">
        <f t="shared" si="217"/>
        <v>1</v>
      </c>
      <c r="H552" s="339">
        <f t="shared" si="218"/>
        <v>0</v>
      </c>
      <c r="I552" s="337">
        <f t="shared" si="219"/>
        <v>626848.68843660818</v>
      </c>
      <c r="J552" s="340">
        <f t="shared" si="220"/>
        <v>1.5707947315135815</v>
      </c>
      <c r="K552" s="348">
        <f t="shared" si="236"/>
        <v>14.432286345109921</v>
      </c>
      <c r="L552" s="349">
        <f t="shared" si="237"/>
        <v>1.5014516732349525</v>
      </c>
      <c r="M552" s="337">
        <f t="shared" si="221"/>
        <v>1.0036126734194832</v>
      </c>
      <c r="N552" s="340">
        <f t="shared" si="222"/>
        <v>8.4874385644169603E-2</v>
      </c>
      <c r="O552" s="341">
        <f t="shared" si="223"/>
        <v>1.0014785366231063</v>
      </c>
      <c r="P552" s="342">
        <f t="shared" si="224"/>
        <v>0.12868668954687523</v>
      </c>
      <c r="Q552" s="343">
        <f t="shared" si="225"/>
        <v>-5.0549387338736462</v>
      </c>
      <c r="R552" s="344">
        <f t="shared" si="226"/>
        <v>-70.238007954861317</v>
      </c>
      <c r="S552" s="346">
        <f t="shared" si="227"/>
        <v>109.76199204513868</v>
      </c>
      <c r="U552" s="319">
        <f t="shared" si="233"/>
        <v>86600.5</v>
      </c>
      <c r="V552" s="319">
        <f t="shared" si="234"/>
        <v>7499646600.25</v>
      </c>
      <c r="X552" s="345">
        <f t="shared" si="228"/>
        <v>4.9193499718678728</v>
      </c>
      <c r="Y552" s="346">
        <f t="shared" si="229"/>
        <v>-8.836008674168415</v>
      </c>
      <c r="AA552" s="345">
        <f t="shared" si="230"/>
        <v>28.243678307604743</v>
      </c>
      <c r="AB552" s="346">
        <f t="shared" si="231"/>
        <v>-61.401999280692898</v>
      </c>
      <c r="AD552">
        <f t="shared" si="235"/>
        <v>0</v>
      </c>
      <c r="AE552">
        <f t="shared" si="238"/>
        <v>0</v>
      </c>
    </row>
    <row r="553" spans="1:31" x14ac:dyDescent="0.2">
      <c r="A553" s="347">
        <v>87096</v>
      </c>
      <c r="B553" s="364">
        <f t="shared" si="232"/>
        <v>87.096000000000004</v>
      </c>
      <c r="C553" s="337">
        <f t="shared" si="213"/>
        <v>1.7210645525142865</v>
      </c>
      <c r="D553" s="338">
        <f t="shared" si="214"/>
        <v>0.95079562613889312</v>
      </c>
      <c r="E553" s="338">
        <f t="shared" si="215"/>
        <v>1.0000132305833807</v>
      </c>
      <c r="F553" s="339">
        <f t="shared" si="216"/>
        <v>5.1440135125749376E-3</v>
      </c>
      <c r="G553" s="338">
        <f t="shared" si="217"/>
        <v>1</v>
      </c>
      <c r="H553" s="339">
        <f t="shared" si="218"/>
        <v>0</v>
      </c>
      <c r="I553" s="337">
        <f t="shared" si="219"/>
        <v>630435.31351521111</v>
      </c>
      <c r="J553" s="340">
        <f t="shared" si="220"/>
        <v>1.5707947405893359</v>
      </c>
      <c r="K553" s="348">
        <f t="shared" si="236"/>
        <v>14.51446788372561</v>
      </c>
      <c r="L553" s="349">
        <f t="shared" si="237"/>
        <v>1.5018449308327717</v>
      </c>
      <c r="M553" s="337">
        <f t="shared" si="221"/>
        <v>1.0036540573098269</v>
      </c>
      <c r="N553" s="340">
        <f t="shared" si="222"/>
        <v>8.5357660646608949E-2</v>
      </c>
      <c r="O553" s="341">
        <f t="shared" si="223"/>
        <v>1.0014957599335292</v>
      </c>
      <c r="P553" s="342">
        <f t="shared" si="224"/>
        <v>0.12942488184464146</v>
      </c>
      <c r="Q553" s="343">
        <f t="shared" si="225"/>
        <v>-5.088444136961801</v>
      </c>
      <c r="R553" s="344">
        <f t="shared" si="226"/>
        <v>-70.438512668834989</v>
      </c>
      <c r="S553" s="346">
        <f t="shared" si="227"/>
        <v>109.56148733116501</v>
      </c>
      <c r="U553" s="319">
        <f t="shared" si="233"/>
        <v>87096</v>
      </c>
      <c r="V553" s="319">
        <f t="shared" si="234"/>
        <v>7585713216</v>
      </c>
      <c r="X553" s="345">
        <f t="shared" si="228"/>
        <v>4.9187552448174774</v>
      </c>
      <c r="Y553" s="346">
        <f t="shared" si="229"/>
        <v>-8.8411668115441842</v>
      </c>
      <c r="AA553" s="345">
        <f t="shared" si="230"/>
        <v>28.210767631566984</v>
      </c>
      <c r="AB553" s="346">
        <f t="shared" si="231"/>
        <v>-61.597345857290797</v>
      </c>
      <c r="AD553">
        <f t="shared" si="235"/>
        <v>0</v>
      </c>
      <c r="AE553">
        <f t="shared" si="238"/>
        <v>0</v>
      </c>
    </row>
    <row r="554" spans="1:31" x14ac:dyDescent="0.2">
      <c r="A554" s="347">
        <v>87603.25</v>
      </c>
      <c r="B554" s="364">
        <f t="shared" si="232"/>
        <v>87.603250000000003</v>
      </c>
      <c r="C554" s="337">
        <f t="shared" si="213"/>
        <v>1.7277106205664514</v>
      </c>
      <c r="D554" s="338">
        <f t="shared" si="214"/>
        <v>0.95353917515261644</v>
      </c>
      <c r="E554" s="338">
        <f t="shared" si="215"/>
        <v>1.0000133851418342</v>
      </c>
      <c r="F554" s="339">
        <f t="shared" si="216"/>
        <v>5.1739718851984947E-3</v>
      </c>
      <c r="G554" s="338">
        <f t="shared" si="217"/>
        <v>1</v>
      </c>
      <c r="H554" s="339">
        <f t="shared" si="218"/>
        <v>0</v>
      </c>
      <c r="I554" s="337">
        <f t="shared" si="219"/>
        <v>634106.9897435084</v>
      </c>
      <c r="J554" s="340">
        <f t="shared" si="220"/>
        <v>1.5707947497739583</v>
      </c>
      <c r="K554" s="348">
        <f t="shared" si="236"/>
        <v>14.598600526417892</v>
      </c>
      <c r="L554" s="349">
        <f t="shared" si="237"/>
        <v>1.5022429274963343</v>
      </c>
      <c r="M554" s="337">
        <f t="shared" si="221"/>
        <v>1.0036966653454675</v>
      </c>
      <c r="N554" s="340">
        <f t="shared" si="222"/>
        <v>8.5852354352747906E-2</v>
      </c>
      <c r="O554" s="341">
        <f t="shared" si="223"/>
        <v>1.0015134995040669</v>
      </c>
      <c r="P554" s="342">
        <f t="shared" si="224"/>
        <v>0.13018061228325722</v>
      </c>
      <c r="Q554" s="343">
        <f t="shared" si="225"/>
        <v>-5.1226802914743574</v>
      </c>
      <c r="R554" s="344">
        <f t="shared" si="226"/>
        <v>-70.642830983383064</v>
      </c>
      <c r="S554" s="346">
        <f t="shared" si="227"/>
        <v>109.35716901661694</v>
      </c>
      <c r="U554" s="319">
        <f t="shared" si="233"/>
        <v>87603.25</v>
      </c>
      <c r="V554" s="319">
        <f t="shared" si="234"/>
        <v>7674329410.5625</v>
      </c>
      <c r="X554" s="345">
        <f t="shared" si="228"/>
        <v>4.9181484622006932</v>
      </c>
      <c r="Y554" s="346">
        <f t="shared" si="229"/>
        <v>-8.8467076702216421</v>
      </c>
      <c r="AA554" s="345">
        <f t="shared" si="230"/>
        <v>28.17713825967121</v>
      </c>
      <c r="AB554" s="346">
        <f t="shared" si="231"/>
        <v>-61.796123313161409</v>
      </c>
      <c r="AD554">
        <f t="shared" si="235"/>
        <v>0</v>
      </c>
      <c r="AE554">
        <f t="shared" si="238"/>
        <v>0</v>
      </c>
    </row>
    <row r="555" spans="1:31" x14ac:dyDescent="0.2">
      <c r="A555" s="347">
        <v>88110.5</v>
      </c>
      <c r="B555" s="364">
        <f t="shared" si="232"/>
        <v>88.110500000000002</v>
      </c>
      <c r="C555" s="337">
        <f t="shared" si="213"/>
        <v>1.7343695934787451</v>
      </c>
      <c r="D555" s="338">
        <f t="shared" si="214"/>
        <v>0.95626167725529565</v>
      </c>
      <c r="E555" s="338">
        <f t="shared" si="215"/>
        <v>1.0000135405978039</v>
      </c>
      <c r="F555" s="339">
        <f t="shared" si="216"/>
        <v>5.2039302485346502E-3</v>
      </c>
      <c r="G555" s="338">
        <f t="shared" si="217"/>
        <v>1</v>
      </c>
      <c r="H555" s="339">
        <f t="shared" si="218"/>
        <v>0</v>
      </c>
      <c r="I555" s="337">
        <f t="shared" si="219"/>
        <v>637778.66597180581</v>
      </c>
      <c r="J555" s="340">
        <f t="shared" si="220"/>
        <v>1.5707947588528293</v>
      </c>
      <c r="K555" s="348">
        <f t="shared" si="236"/>
        <v>14.68273545504719</v>
      </c>
      <c r="L555" s="349">
        <f t="shared" si="237"/>
        <v>1.5026363630251098</v>
      </c>
      <c r="M555" s="337">
        <f t="shared" si="221"/>
        <v>1.0037395189867375</v>
      </c>
      <c r="N555" s="340">
        <f t="shared" si="222"/>
        <v>8.6347005939037727E-2</v>
      </c>
      <c r="O555" s="341">
        <f t="shared" si="223"/>
        <v>1.0015313482804786</v>
      </c>
      <c r="P555" s="342">
        <f t="shared" si="224"/>
        <v>0.13093637636705027</v>
      </c>
      <c r="Q555" s="343">
        <f t="shared" si="225"/>
        <v>-5.1568515043497918</v>
      </c>
      <c r="R555" s="344">
        <f t="shared" si="226"/>
        <v>-70.846204241438556</v>
      </c>
      <c r="S555" s="346">
        <f t="shared" si="227"/>
        <v>109.15379575856144</v>
      </c>
      <c r="U555" s="319">
        <f t="shared" si="233"/>
        <v>88110.5</v>
      </c>
      <c r="V555" s="319">
        <f t="shared" si="234"/>
        <v>7763460210.25</v>
      </c>
      <c r="X555" s="345">
        <f t="shared" si="228"/>
        <v>4.9175436566507527</v>
      </c>
      <c r="Y555" s="346">
        <f t="shared" si="229"/>
        <v>-8.8525074433237787</v>
      </c>
      <c r="AA555" s="345">
        <f t="shared" si="230"/>
        <v>28.143571852345715</v>
      </c>
      <c r="AB555" s="346">
        <f t="shared" si="231"/>
        <v>-61.993696798114804</v>
      </c>
      <c r="AD555">
        <f t="shared" si="235"/>
        <v>0</v>
      </c>
      <c r="AE555">
        <f t="shared" si="238"/>
        <v>0</v>
      </c>
    </row>
    <row r="556" spans="1:31" x14ac:dyDescent="0.2">
      <c r="A556" s="347">
        <v>88617.75</v>
      </c>
      <c r="B556" s="364">
        <f t="shared" si="232"/>
        <v>88.617750000000001</v>
      </c>
      <c r="C556" s="337">
        <f t="shared" si="213"/>
        <v>1.7410413231792479</v>
      </c>
      <c r="D556" s="338">
        <f t="shared" si="214"/>
        <v>0.9589633338133855</v>
      </c>
      <c r="E556" s="338">
        <f t="shared" si="215"/>
        <v>1.0000136969512887</v>
      </c>
      <c r="F556" s="339">
        <f t="shared" si="216"/>
        <v>5.2338886025296329E-3</v>
      </c>
      <c r="G556" s="338">
        <f t="shared" si="217"/>
        <v>1</v>
      </c>
      <c r="H556" s="339">
        <f t="shared" si="218"/>
        <v>0</v>
      </c>
      <c r="I556" s="337">
        <f t="shared" si="219"/>
        <v>641450.34220010333</v>
      </c>
      <c r="J556" s="340">
        <f t="shared" si="220"/>
        <v>1.5707947678277652</v>
      </c>
      <c r="K556" s="348">
        <f t="shared" si="236"/>
        <v>14.766872630540815</v>
      </c>
      <c r="L556" s="349">
        <f t="shared" si="237"/>
        <v>1.5030253152601458</v>
      </c>
      <c r="M556" s="337">
        <f t="shared" si="221"/>
        <v>1.0037826182021805</v>
      </c>
      <c r="N556" s="340">
        <f t="shared" si="222"/>
        <v>8.6841615168825617E-2</v>
      </c>
      <c r="O556" s="341">
        <f t="shared" si="223"/>
        <v>1.0015493063699561</v>
      </c>
      <c r="P556" s="342">
        <f t="shared" si="224"/>
        <v>0.13169217427854732</v>
      </c>
      <c r="Q556" s="343">
        <f t="shared" si="225"/>
        <v>-5.1909573717594091</v>
      </c>
      <c r="R556" s="344">
        <f t="shared" si="226"/>
        <v>-71.048639517492091</v>
      </c>
      <c r="S556" s="346">
        <f t="shared" si="227"/>
        <v>108.95136048250791</v>
      </c>
      <c r="U556" s="319">
        <f t="shared" si="233"/>
        <v>88617.75</v>
      </c>
      <c r="V556" s="319">
        <f t="shared" si="234"/>
        <v>7853105615.0625</v>
      </c>
      <c r="X556" s="345">
        <f t="shared" si="228"/>
        <v>4.9169407357663921</v>
      </c>
      <c r="Y556" s="346">
        <f t="shared" si="229"/>
        <v>-8.8585616574319683</v>
      </c>
      <c r="AA556" s="345">
        <f t="shared" si="230"/>
        <v>28.110068905820462</v>
      </c>
      <c r="AB556" s="346">
        <f t="shared" si="231"/>
        <v>-62.190077860060107</v>
      </c>
      <c r="AD556">
        <f t="shared" si="235"/>
        <v>0</v>
      </c>
      <c r="AE556">
        <f t="shared" si="238"/>
        <v>0</v>
      </c>
    </row>
    <row r="557" spans="1:31" x14ac:dyDescent="0.2">
      <c r="A557" s="347">
        <v>89125</v>
      </c>
      <c r="B557" s="364">
        <f t="shared" si="232"/>
        <v>89.125</v>
      </c>
      <c r="C557" s="337">
        <f t="shared" si="213"/>
        <v>1.7477256635755132</v>
      </c>
      <c r="D557" s="338">
        <f t="shared" si="214"/>
        <v>0.96164434433880186</v>
      </c>
      <c r="E557" s="338">
        <f t="shared" si="215"/>
        <v>1.0000138542022885</v>
      </c>
      <c r="F557" s="339">
        <f t="shared" si="216"/>
        <v>5.2638469471296707E-3</v>
      </c>
      <c r="G557" s="338">
        <f t="shared" si="217"/>
        <v>1</v>
      </c>
      <c r="H557" s="339">
        <f t="shared" si="218"/>
        <v>0</v>
      </c>
      <c r="I557" s="337">
        <f t="shared" si="219"/>
        <v>645122.01842840097</v>
      </c>
      <c r="J557" s="340">
        <f t="shared" si="220"/>
        <v>1.5707947767005401</v>
      </c>
      <c r="K557" s="348">
        <f t="shared" si="236"/>
        <v>14.851012014710497</v>
      </c>
      <c r="L557" s="349">
        <f t="shared" si="237"/>
        <v>1.5034098602839314</v>
      </c>
      <c r="M557" s="337">
        <f t="shared" si="221"/>
        <v>1.0038259629601654</v>
      </c>
      <c r="N557" s="340">
        <f t="shared" si="222"/>
        <v>8.7336181805582266E-2</v>
      </c>
      <c r="O557" s="341">
        <f t="shared" si="223"/>
        <v>1.0015673738802997</v>
      </c>
      <c r="P557" s="342">
        <f t="shared" si="224"/>
        <v>0.13244800620006203</v>
      </c>
      <c r="Q557" s="343">
        <f t="shared" si="225"/>
        <v>-5.2249975070335095</v>
      </c>
      <c r="R557" s="344">
        <f t="shared" si="226"/>
        <v>-71.250143880527133</v>
      </c>
      <c r="S557" s="346">
        <f t="shared" si="227"/>
        <v>108.74985611947287</v>
      </c>
      <c r="U557" s="319">
        <f t="shared" si="233"/>
        <v>89125</v>
      </c>
      <c r="V557" s="319">
        <f t="shared" si="234"/>
        <v>7943265625</v>
      </c>
      <c r="X557" s="345">
        <f t="shared" si="228"/>
        <v>4.9163396097746705</v>
      </c>
      <c r="Y557" s="346">
        <f t="shared" si="229"/>
        <v>-8.8648659398901906</v>
      </c>
      <c r="AA557" s="345">
        <f t="shared" si="230"/>
        <v>28.076629896538083</v>
      </c>
      <c r="AB557" s="346">
        <f t="shared" si="231"/>
        <v>-62.385277940636939</v>
      </c>
      <c r="AD557">
        <f t="shared" si="235"/>
        <v>0</v>
      </c>
      <c r="AE557">
        <f t="shared" si="238"/>
        <v>0</v>
      </c>
    </row>
    <row r="558" spans="1:31" x14ac:dyDescent="0.2">
      <c r="A558" s="347">
        <v>89644</v>
      </c>
      <c r="B558" s="364">
        <f t="shared" si="232"/>
        <v>89.644000000000005</v>
      </c>
      <c r="C558" s="337">
        <f t="shared" si="213"/>
        <v>1.7545777427618234</v>
      </c>
      <c r="D558" s="338">
        <f t="shared" si="214"/>
        <v>0.96436629532292673</v>
      </c>
      <c r="E558" s="338">
        <f t="shared" si="215"/>
        <v>1.0000140160248101</v>
      </c>
      <c r="F558" s="339">
        <f t="shared" si="216"/>
        <v>5.2944992406467172E-3</v>
      </c>
      <c r="G558" s="338">
        <f t="shared" si="217"/>
        <v>1</v>
      </c>
      <c r="H558" s="339">
        <f t="shared" si="218"/>
        <v>0</v>
      </c>
      <c r="I558" s="337">
        <f t="shared" si="219"/>
        <v>648878.74580639286</v>
      </c>
      <c r="J558" s="340">
        <f t="shared" si="220"/>
        <v>1.5707947856749163</v>
      </c>
      <c r="K558" s="348">
        <f t="shared" si="236"/>
        <v>14.937102660776056</v>
      </c>
      <c r="L558" s="349">
        <f t="shared" si="237"/>
        <v>1.5037988289891402</v>
      </c>
      <c r="M558" s="337">
        <f t="shared" si="221"/>
        <v>1.0038705658682454</v>
      </c>
      <c r="N558" s="340">
        <f t="shared" si="222"/>
        <v>8.7842160312412515E-2</v>
      </c>
      <c r="O558" s="341">
        <f t="shared" si="223"/>
        <v>1.0015859732738808</v>
      </c>
      <c r="P558" s="342">
        <f t="shared" si="224"/>
        <v>0.13322138169389053</v>
      </c>
      <c r="Q558" s="343">
        <f t="shared" si="225"/>
        <v>-5.259757732678624</v>
      </c>
      <c r="R558" s="344">
        <f t="shared" si="226"/>
        <v>-71.455359770906199</v>
      </c>
      <c r="S558" s="346">
        <f t="shared" si="227"/>
        <v>108.5446402290938</v>
      </c>
      <c r="U558" s="319">
        <f t="shared" si="233"/>
        <v>89644</v>
      </c>
      <c r="V558" s="319">
        <f t="shared" si="234"/>
        <v>8036046736</v>
      </c>
      <c r="X558" s="345">
        <f t="shared" si="228"/>
        <v>4.9157263259983548</v>
      </c>
      <c r="Y558" s="346">
        <f t="shared" si="229"/>
        <v>-8.8715706218862991</v>
      </c>
      <c r="AA558" s="345">
        <f t="shared" si="230"/>
        <v>28.042482954669282</v>
      </c>
      <c r="AB558" s="346">
        <f t="shared" si="231"/>
        <v>-62.583789149019893</v>
      </c>
      <c r="AD558">
        <f t="shared" si="235"/>
        <v>0</v>
      </c>
      <c r="AE558">
        <f t="shared" si="238"/>
        <v>0</v>
      </c>
    </row>
    <row r="559" spans="1:31" x14ac:dyDescent="0.2">
      <c r="A559" s="347">
        <v>90163</v>
      </c>
      <c r="B559" s="364">
        <f t="shared" si="232"/>
        <v>90.162999999999997</v>
      </c>
      <c r="C559" s="337">
        <f t="shared" si="213"/>
        <v>1.7614427204501792</v>
      </c>
      <c r="D559" s="338">
        <f t="shared" si="214"/>
        <v>0.96706704933756615</v>
      </c>
      <c r="E559" s="338">
        <f t="shared" si="215"/>
        <v>1.0000141787869077</v>
      </c>
      <c r="F559" s="339">
        <f t="shared" si="216"/>
        <v>5.3251515242146424E-3</v>
      </c>
      <c r="G559" s="338">
        <f t="shared" si="217"/>
        <v>1</v>
      </c>
      <c r="H559" s="339">
        <f t="shared" si="218"/>
        <v>0</v>
      </c>
      <c r="I559" s="337">
        <f t="shared" si="219"/>
        <v>652635.47318438499</v>
      </c>
      <c r="J559" s="340">
        <f t="shared" si="220"/>
        <v>1.570794794545975</v>
      </c>
      <c r="K559" s="348">
        <f t="shared" si="236"/>
        <v>15.023195540873896</v>
      </c>
      <c r="L559" s="349">
        <f t="shared" si="237"/>
        <v>1.5041833396543556</v>
      </c>
      <c r="M559" s="337">
        <f t="shared" si="221"/>
        <v>1.0039154257586196</v>
      </c>
      <c r="N559" s="340">
        <f t="shared" si="222"/>
        <v>8.8348093729531132E-2</v>
      </c>
      <c r="O559" s="341">
        <f t="shared" si="223"/>
        <v>1.001604687446588</v>
      </c>
      <c r="P559" s="342">
        <f t="shared" si="224"/>
        <v>0.1339947931770592</v>
      </c>
      <c r="Q559" s="343">
        <f t="shared" si="225"/>
        <v>-5.2944483800562931</v>
      </c>
      <c r="R559" s="344">
        <f t="shared" si="226"/>
        <v>-71.659616064508242</v>
      </c>
      <c r="S559" s="346">
        <f t="shared" si="227"/>
        <v>108.34038393549176</v>
      </c>
      <c r="U559" s="319">
        <f t="shared" si="233"/>
        <v>90163</v>
      </c>
      <c r="V559" s="319">
        <f t="shared" si="234"/>
        <v>8129366569</v>
      </c>
      <c r="X559" s="345">
        <f t="shared" si="228"/>
        <v>4.9151147391431662</v>
      </c>
      <c r="Y559" s="346">
        <f t="shared" si="229"/>
        <v>-8.8785281413894008</v>
      </c>
      <c r="AA559" s="345">
        <f t="shared" si="230"/>
        <v>28.008403894146802</v>
      </c>
      <c r="AB559" s="346">
        <f t="shared" si="231"/>
        <v>-62.781087923118839</v>
      </c>
      <c r="AD559">
        <f t="shared" si="235"/>
        <v>0</v>
      </c>
      <c r="AE559">
        <f t="shared" si="238"/>
        <v>0</v>
      </c>
    </row>
    <row r="560" spans="1:31" x14ac:dyDescent="0.2">
      <c r="A560" s="347">
        <v>90682</v>
      </c>
      <c r="B560" s="364">
        <f t="shared" si="232"/>
        <v>90.682000000000002</v>
      </c>
      <c r="C560" s="337">
        <f t="shared" si="213"/>
        <v>1.7683204464168043</v>
      </c>
      <c r="D560" s="338">
        <f t="shared" si="214"/>
        <v>0.96974681408448782</v>
      </c>
      <c r="E560" s="338">
        <f t="shared" si="215"/>
        <v>1.0000143424885806</v>
      </c>
      <c r="F560" s="339">
        <f t="shared" si="216"/>
        <v>5.3558037977758498E-3</v>
      </c>
      <c r="G560" s="338">
        <f t="shared" si="217"/>
        <v>1</v>
      </c>
      <c r="H560" s="339">
        <f t="shared" si="218"/>
        <v>0</v>
      </c>
      <c r="I560" s="337">
        <f t="shared" si="219"/>
        <v>656392.20056237699</v>
      </c>
      <c r="J560" s="340">
        <f t="shared" si="220"/>
        <v>1.5707948033154904</v>
      </c>
      <c r="K560" s="348">
        <f t="shared" si="236"/>
        <v>15.109290616815407</v>
      </c>
      <c r="L560" s="349">
        <f t="shared" si="237"/>
        <v>1.5045634683727009</v>
      </c>
      <c r="M560" s="337">
        <f t="shared" si="221"/>
        <v>1.0039605425968396</v>
      </c>
      <c r="N560" s="340">
        <f t="shared" si="222"/>
        <v>8.885398180399362E-2</v>
      </c>
      <c r="O560" s="341">
        <f t="shared" si="223"/>
        <v>1.0016235165158673</v>
      </c>
      <c r="P560" s="342">
        <f t="shared" si="224"/>
        <v>0.13476824084414699</v>
      </c>
      <c r="Q560" s="343">
        <f t="shared" si="225"/>
        <v>-5.3290690882712619</v>
      </c>
      <c r="R560" s="344">
        <f t="shared" si="226"/>
        <v>-71.862920298713959</v>
      </c>
      <c r="S560" s="346">
        <f t="shared" si="227"/>
        <v>108.13707970128604</v>
      </c>
      <c r="U560" s="319">
        <f t="shared" si="233"/>
        <v>90682</v>
      </c>
      <c r="V560" s="319">
        <f t="shared" si="234"/>
        <v>8223225124</v>
      </c>
      <c r="X560" s="345">
        <f t="shared" si="228"/>
        <v>4.9145047610303552</v>
      </c>
      <c r="Y560" s="346">
        <f t="shared" si="229"/>
        <v>-8.8857341241936396</v>
      </c>
      <c r="AA560" s="345">
        <f t="shared" si="230"/>
        <v>27.974393164044642</v>
      </c>
      <c r="AB560" s="346">
        <f t="shared" si="231"/>
        <v>-62.977186174520298</v>
      </c>
      <c r="AD560">
        <f t="shared" si="235"/>
        <v>0</v>
      </c>
      <c r="AE560">
        <f t="shared" si="238"/>
        <v>0</v>
      </c>
    </row>
    <row r="561" spans="1:31" x14ac:dyDescent="0.2">
      <c r="A561" s="347">
        <v>91201</v>
      </c>
      <c r="B561" s="364">
        <f t="shared" si="232"/>
        <v>91.200999999999993</v>
      </c>
      <c r="C561" s="337">
        <f t="shared" si="213"/>
        <v>1.7752107724891624</v>
      </c>
      <c r="D561" s="338">
        <f t="shared" si="214"/>
        <v>0.97240579525553694</v>
      </c>
      <c r="E561" s="338">
        <f t="shared" si="215"/>
        <v>1.0000145071298285</v>
      </c>
      <c r="F561" s="339">
        <f t="shared" si="216"/>
        <v>5.3864560612727477E-3</v>
      </c>
      <c r="G561" s="338">
        <f t="shared" si="217"/>
        <v>1</v>
      </c>
      <c r="H561" s="339">
        <f t="shared" si="218"/>
        <v>0</v>
      </c>
      <c r="I561" s="337">
        <f t="shared" si="219"/>
        <v>660148.92794036923</v>
      </c>
      <c r="J561" s="340">
        <f t="shared" si="220"/>
        <v>1.5707948119851958</v>
      </c>
      <c r="K561" s="348">
        <f t="shared" si="236"/>
        <v>15.195387851276504</v>
      </c>
      <c r="L561" s="349">
        <f t="shared" si="237"/>
        <v>1.5049392895178537</v>
      </c>
      <c r="M561" s="337">
        <f t="shared" si="221"/>
        <v>1.0040059163482662</v>
      </c>
      <c r="N561" s="340">
        <f t="shared" si="222"/>
        <v>8.9359824282993661E-2</v>
      </c>
      <c r="O561" s="341">
        <f t="shared" si="223"/>
        <v>1.0016424605998309</v>
      </c>
      <c r="P561" s="342">
        <f t="shared" si="224"/>
        <v>0.13554172488949418</v>
      </c>
      <c r="Q561" s="343">
        <f t="shared" si="225"/>
        <v>-5.3636195135643323</v>
      </c>
      <c r="R561" s="344">
        <f t="shared" si="226"/>
        <v>-72.065279994252904</v>
      </c>
      <c r="S561" s="346">
        <f t="shared" si="227"/>
        <v>107.9347200057471</v>
      </c>
      <c r="U561" s="319">
        <f t="shared" si="233"/>
        <v>91201</v>
      </c>
      <c r="V561" s="319">
        <f t="shared" si="234"/>
        <v>8317622401</v>
      </c>
      <c r="X561" s="345">
        <f t="shared" si="228"/>
        <v>4.9138963059921466</v>
      </c>
      <c r="Y561" s="346">
        <f t="shared" si="229"/>
        <v>-8.8931842946157946</v>
      </c>
      <c r="AA561" s="345">
        <f t="shared" si="230"/>
        <v>27.940451193789784</v>
      </c>
      <c r="AB561" s="346">
        <f t="shared" si="231"/>
        <v>-63.17209569963709</v>
      </c>
      <c r="AD561">
        <f t="shared" si="235"/>
        <v>0</v>
      </c>
      <c r="AE561">
        <f t="shared" si="238"/>
        <v>0</v>
      </c>
    </row>
    <row r="562" spans="1:31" x14ac:dyDescent="0.2">
      <c r="A562" s="347">
        <v>91732</v>
      </c>
      <c r="B562" s="364">
        <f t="shared" si="232"/>
        <v>91.731999999999999</v>
      </c>
      <c r="C562" s="337">
        <f t="shared" si="213"/>
        <v>1.7822733005188478</v>
      </c>
      <c r="D562" s="338">
        <f t="shared" si="214"/>
        <v>0.97510495823181553</v>
      </c>
      <c r="E562" s="338">
        <f t="shared" si="215"/>
        <v>1.0000146765502227</v>
      </c>
      <c r="F562" s="339">
        <f t="shared" si="216"/>
        <v>5.4178170371489446E-3</v>
      </c>
      <c r="G562" s="338">
        <f t="shared" si="217"/>
        <v>1</v>
      </c>
      <c r="H562" s="339">
        <f t="shared" si="218"/>
        <v>0</v>
      </c>
      <c r="I562" s="337">
        <f t="shared" si="219"/>
        <v>663992.51606698555</v>
      </c>
      <c r="J562" s="340">
        <f t="shared" si="220"/>
        <v>1.5707948207538256</v>
      </c>
      <c r="K562" s="348">
        <f t="shared" si="236"/>
        <v>15.283477969153081</v>
      </c>
      <c r="L562" s="349">
        <f t="shared" si="237"/>
        <v>1.5053194178624705</v>
      </c>
      <c r="M562" s="337">
        <f t="shared" si="221"/>
        <v>1.0040526050596095</v>
      </c>
      <c r="N562" s="340">
        <f t="shared" si="222"/>
        <v>8.9877315089346821E-2</v>
      </c>
      <c r="O562" s="341">
        <f t="shared" si="223"/>
        <v>1.0016619618555542</v>
      </c>
      <c r="P562" s="342">
        <f t="shared" si="224"/>
        <v>0.13633313081109885</v>
      </c>
      <c r="Q562" s="343">
        <f t="shared" si="225"/>
        <v>-5.3988957123880885</v>
      </c>
      <c r="R562" s="344">
        <f t="shared" si="226"/>
        <v>-72.271348800604102</v>
      </c>
      <c r="S562" s="346">
        <f t="shared" si="227"/>
        <v>107.7286511993959</v>
      </c>
      <c r="U562" s="319">
        <f t="shared" si="233"/>
        <v>91732</v>
      </c>
      <c r="V562" s="319">
        <f t="shared" si="234"/>
        <v>8414759824</v>
      </c>
      <c r="X562" s="345">
        <f t="shared" si="228"/>
        <v>4.9132752721342321</v>
      </c>
      <c r="Y562" s="346">
        <f t="shared" si="229"/>
        <v>-8.9010550863512954</v>
      </c>
      <c r="AA562" s="345">
        <f t="shared" si="230"/>
        <v>27.905796028823939</v>
      </c>
      <c r="AB562" s="346">
        <f t="shared" si="231"/>
        <v>-63.370293714252774</v>
      </c>
      <c r="AD562">
        <f t="shared" si="235"/>
        <v>0</v>
      </c>
      <c r="AE562">
        <f t="shared" si="238"/>
        <v>0</v>
      </c>
    </row>
    <row r="563" spans="1:31" x14ac:dyDescent="0.2">
      <c r="A563" s="347">
        <v>92263</v>
      </c>
      <c r="B563" s="364">
        <f t="shared" si="232"/>
        <v>92.263000000000005</v>
      </c>
      <c r="C563" s="337">
        <f t="shared" si="213"/>
        <v>1.7893487107105563</v>
      </c>
      <c r="D563" s="338">
        <f t="shared" si="214"/>
        <v>0.97778279462666395</v>
      </c>
      <c r="E563" s="338">
        <f t="shared" si="215"/>
        <v>1.0000148469541419</v>
      </c>
      <c r="F563" s="339">
        <f t="shared" si="216"/>
        <v>5.4491780023680787E-3</v>
      </c>
      <c r="G563" s="338">
        <f t="shared" si="217"/>
        <v>1</v>
      </c>
      <c r="H563" s="339">
        <f t="shared" si="218"/>
        <v>0</v>
      </c>
      <c r="I563" s="337">
        <f t="shared" si="219"/>
        <v>667836.10419360187</v>
      </c>
      <c r="J563" s="340">
        <f t="shared" si="220"/>
        <v>1.5707948294215235</v>
      </c>
      <c r="K563" s="348">
        <f t="shared" si="236"/>
        <v>15.371570270143003</v>
      </c>
      <c r="L563" s="349">
        <f t="shared" si="237"/>
        <v>1.5056951893370194</v>
      </c>
      <c r="M563" s="337">
        <f t="shared" si="221"/>
        <v>1.004099562627915</v>
      </c>
      <c r="N563" s="340">
        <f t="shared" si="222"/>
        <v>9.0394757632465045E-2</v>
      </c>
      <c r="O563" s="341">
        <f t="shared" si="223"/>
        <v>1.0016815837583164</v>
      </c>
      <c r="P563" s="342">
        <f t="shared" si="224"/>
        <v>0.13712457522343677</v>
      </c>
      <c r="Q563" s="343">
        <f t="shared" si="225"/>
        <v>-5.4340976658308158</v>
      </c>
      <c r="R563" s="344">
        <f t="shared" si="226"/>
        <v>-72.476444749018086</v>
      </c>
      <c r="S563" s="346">
        <f t="shared" si="227"/>
        <v>107.52355525098191</v>
      </c>
      <c r="U563" s="319">
        <f t="shared" si="233"/>
        <v>92263</v>
      </c>
      <c r="V563" s="319">
        <f t="shared" si="234"/>
        <v>8512461169</v>
      </c>
      <c r="X563" s="345">
        <f t="shared" si="228"/>
        <v>4.9126556588609365</v>
      </c>
      <c r="Y563" s="346">
        <f t="shared" si="229"/>
        <v>-8.9091727372912093</v>
      </c>
      <c r="AA563" s="345">
        <f t="shared" si="230"/>
        <v>27.87121368865451</v>
      </c>
      <c r="AB563" s="346">
        <f t="shared" si="231"/>
        <v>-63.567272011726871</v>
      </c>
      <c r="AD563">
        <f t="shared" si="235"/>
        <v>0</v>
      </c>
      <c r="AE563">
        <f t="shared" si="238"/>
        <v>0</v>
      </c>
    </row>
    <row r="564" spans="1:31" x14ac:dyDescent="0.2">
      <c r="A564" s="347">
        <v>92794</v>
      </c>
      <c r="B564" s="364">
        <f t="shared" si="232"/>
        <v>92.793999999999997</v>
      </c>
      <c r="C564" s="337">
        <f t="shared" si="213"/>
        <v>1.7964368508520185</v>
      </c>
      <c r="D564" s="338">
        <f t="shared" si="214"/>
        <v>0.98043951825034392</v>
      </c>
      <c r="E564" s="338">
        <f t="shared" si="215"/>
        <v>1.0000150183415852</v>
      </c>
      <c r="F564" s="339">
        <f t="shared" si="216"/>
        <v>5.4805389568684656E-3</v>
      </c>
      <c r="G564" s="338">
        <f t="shared" si="217"/>
        <v>1</v>
      </c>
      <c r="H564" s="339">
        <f t="shared" si="218"/>
        <v>0</v>
      </c>
      <c r="I564" s="337">
        <f t="shared" si="219"/>
        <v>671679.69232021831</v>
      </c>
      <c r="J564" s="340">
        <f t="shared" si="220"/>
        <v>1.5707948379900221</v>
      </c>
      <c r="K564" s="348">
        <f t="shared" si="236"/>
        <v>15.459664716926808</v>
      </c>
      <c r="L564" s="349">
        <f t="shared" si="237"/>
        <v>1.5060666783152605</v>
      </c>
      <c r="M564" s="337">
        <f t="shared" si="221"/>
        <v>1.0041467890154643</v>
      </c>
      <c r="N564" s="340">
        <f t="shared" si="222"/>
        <v>9.0912151642051603E-2</v>
      </c>
      <c r="O564" s="341">
        <f t="shared" si="223"/>
        <v>1.0017013264367791</v>
      </c>
      <c r="P564" s="342">
        <f t="shared" si="224"/>
        <v>0.1379160583338577</v>
      </c>
      <c r="Q564" s="343">
        <f t="shared" si="225"/>
        <v>-5.4692250588022109</v>
      </c>
      <c r="R564" s="344">
        <f t="shared" si="226"/>
        <v>-72.680575825114175</v>
      </c>
      <c r="S564" s="346">
        <f t="shared" si="227"/>
        <v>107.31942417488582</v>
      </c>
      <c r="U564" s="319">
        <f t="shared" si="233"/>
        <v>92794</v>
      </c>
      <c r="V564" s="319">
        <f t="shared" si="234"/>
        <v>8610726436</v>
      </c>
      <c r="X564" s="345">
        <f t="shared" si="228"/>
        <v>4.9120373820448382</v>
      </c>
      <c r="Y564" s="346">
        <f t="shared" si="229"/>
        <v>-8.9175329707453876</v>
      </c>
      <c r="AA564" s="345">
        <f t="shared" si="230"/>
        <v>27.836704572499215</v>
      </c>
      <c r="AB564" s="346">
        <f t="shared" si="231"/>
        <v>-63.763042854368777</v>
      </c>
      <c r="AD564">
        <f t="shared" si="235"/>
        <v>0</v>
      </c>
      <c r="AE564">
        <f t="shared" si="238"/>
        <v>0</v>
      </c>
    </row>
    <row r="565" spans="1:31" x14ac:dyDescent="0.2">
      <c r="A565" s="347">
        <v>93325</v>
      </c>
      <c r="B565" s="364">
        <f t="shared" si="232"/>
        <v>93.325000000000003</v>
      </c>
      <c r="C565" s="337">
        <f t="shared" si="213"/>
        <v>1.8035375708521046</v>
      </c>
      <c r="D565" s="338">
        <f t="shared" si="214"/>
        <v>0.98307534074715808</v>
      </c>
      <c r="E565" s="338">
        <f t="shared" si="215"/>
        <v>1.0000151907125527</v>
      </c>
      <c r="F565" s="339">
        <f t="shared" si="216"/>
        <v>5.5118999005884257E-3</v>
      </c>
      <c r="G565" s="338">
        <f t="shared" si="217"/>
        <v>1</v>
      </c>
      <c r="H565" s="339">
        <f t="shared" si="218"/>
        <v>0</v>
      </c>
      <c r="I565" s="337">
        <f t="shared" si="219"/>
        <v>675523.28044683475</v>
      </c>
      <c r="J565" s="340">
        <f t="shared" si="220"/>
        <v>1.5707948464610149</v>
      </c>
      <c r="K565" s="348">
        <f t="shared" si="236"/>
        <v>15.547761273029939</v>
      </c>
      <c r="L565" s="349">
        <f t="shared" si="237"/>
        <v>1.5064339574900807</v>
      </c>
      <c r="M565" s="337">
        <f t="shared" si="221"/>
        <v>1.0041942841843305</v>
      </c>
      <c r="N565" s="340">
        <f t="shared" si="222"/>
        <v>9.1429496847964378E-2</v>
      </c>
      <c r="O565" s="341">
        <f t="shared" si="223"/>
        <v>1.001721190020334</v>
      </c>
      <c r="P565" s="342">
        <f t="shared" si="224"/>
        <v>0.13870758034944364</v>
      </c>
      <c r="Q565" s="343">
        <f t="shared" si="225"/>
        <v>-5.5042775932417767</v>
      </c>
      <c r="R565" s="344">
        <f t="shared" si="226"/>
        <v>-72.883749986709475</v>
      </c>
      <c r="S565" s="346">
        <f t="shared" si="227"/>
        <v>107.11625001329053</v>
      </c>
      <c r="U565" s="319">
        <f t="shared" si="233"/>
        <v>93325</v>
      </c>
      <c r="V565" s="319">
        <f t="shared" si="234"/>
        <v>8709555625</v>
      </c>
      <c r="X565" s="345">
        <f t="shared" si="228"/>
        <v>4.9114203599570052</v>
      </c>
      <c r="Y565" s="346">
        <f t="shared" si="229"/>
        <v>-8.9261316063372256</v>
      </c>
      <c r="AA565" s="345">
        <f t="shared" si="230"/>
        <v>27.802269060147481</v>
      </c>
      <c r="AB565" s="346">
        <f t="shared" si="231"/>
        <v>-63.957618380372246</v>
      </c>
      <c r="AD565">
        <f t="shared" si="235"/>
        <v>0</v>
      </c>
      <c r="AE565">
        <f t="shared" si="238"/>
        <v>0</v>
      </c>
    </row>
    <row r="566" spans="1:31" x14ac:dyDescent="0.2">
      <c r="A566" s="347">
        <v>93868.5</v>
      </c>
      <c r="B566" s="364">
        <f t="shared" si="232"/>
        <v>93.868499999999997</v>
      </c>
      <c r="C566" s="337">
        <f t="shared" si="213"/>
        <v>1.8108183183680373</v>
      </c>
      <c r="D566" s="338">
        <f t="shared" si="214"/>
        <v>0.98575178547737707</v>
      </c>
      <c r="E566" s="338">
        <f t="shared" si="215"/>
        <v>1.0000153681597419</v>
      </c>
      <c r="F566" s="339">
        <f t="shared" si="216"/>
        <v>5.5439990850507355E-3</v>
      </c>
      <c r="G566" s="338">
        <f t="shared" si="217"/>
        <v>1</v>
      </c>
      <c r="H566" s="339">
        <f t="shared" si="218"/>
        <v>0</v>
      </c>
      <c r="I566" s="337">
        <f t="shared" si="219"/>
        <v>679457.34851993469</v>
      </c>
      <c r="J566" s="340">
        <f t="shared" si="220"/>
        <v>1.5707948550321698</v>
      </c>
      <c r="K566" s="348">
        <f t="shared" si="236"/>
        <v>15.63793381237792</v>
      </c>
      <c r="L566" s="349">
        <f t="shared" si="237"/>
        <v>1.5068055971310295</v>
      </c>
      <c r="M566" s="337">
        <f t="shared" si="221"/>
        <v>1.0042431757195791</v>
      </c>
      <c r="N566" s="340">
        <f t="shared" si="222"/>
        <v>9.1958969791060843E-2</v>
      </c>
      <c r="O566" s="341">
        <f t="shared" si="223"/>
        <v>1.0017416465460254</v>
      </c>
      <c r="P566" s="342">
        <f t="shared" si="224"/>
        <v>0.13951777568640547</v>
      </c>
      <c r="Q566" s="343">
        <f t="shared" si="225"/>
        <v>-5.5400774652660125</v>
      </c>
      <c r="R566" s="344">
        <f t="shared" si="226"/>
        <v>-73.090724272851816</v>
      </c>
      <c r="S566" s="346">
        <f t="shared" si="227"/>
        <v>106.90927572714818</v>
      </c>
      <c r="U566" s="319">
        <f t="shared" si="233"/>
        <v>93868.5</v>
      </c>
      <c r="V566" s="319">
        <f t="shared" si="234"/>
        <v>8811295292.25</v>
      </c>
      <c r="X566" s="345">
        <f t="shared" si="228"/>
        <v>4.9107900293797799</v>
      </c>
      <c r="Y566" s="346">
        <f t="shared" si="229"/>
        <v>-8.9351752795182371</v>
      </c>
      <c r="AA566" s="345">
        <f t="shared" si="230"/>
        <v>27.767099518700469</v>
      </c>
      <c r="AB566" s="346">
        <f t="shared" si="231"/>
        <v>-64.155548993333596</v>
      </c>
      <c r="AD566">
        <f t="shared" si="235"/>
        <v>0</v>
      </c>
      <c r="AE566">
        <f t="shared" si="238"/>
        <v>0</v>
      </c>
    </row>
    <row r="567" spans="1:31" x14ac:dyDescent="0.2">
      <c r="A567" s="347">
        <v>94412</v>
      </c>
      <c r="B567" s="364">
        <f t="shared" si="232"/>
        <v>94.412000000000006</v>
      </c>
      <c r="C567" s="337">
        <f t="shared" si="213"/>
        <v>1.8181119334762699</v>
      </c>
      <c r="D567" s="338">
        <f t="shared" si="214"/>
        <v>0.98840677522050291</v>
      </c>
      <c r="E567" s="338">
        <f t="shared" si="215"/>
        <v>1.0000155466373042</v>
      </c>
      <c r="F567" s="339">
        <f t="shared" si="216"/>
        <v>5.5760982580883292E-3</v>
      </c>
      <c r="G567" s="338">
        <f t="shared" si="217"/>
        <v>1</v>
      </c>
      <c r="H567" s="339">
        <f t="shared" si="218"/>
        <v>0</v>
      </c>
      <c r="I567" s="337">
        <f t="shared" si="219"/>
        <v>683391.41659303475</v>
      </c>
      <c r="J567" s="340">
        <f t="shared" si="220"/>
        <v>1.570794863504642</v>
      </c>
      <c r="K567" s="348">
        <f t="shared" si="236"/>
        <v>15.728108486809212</v>
      </c>
      <c r="L567" s="349">
        <f t="shared" si="237"/>
        <v>1.5071729753455734</v>
      </c>
      <c r="M567" s="337">
        <f t="shared" si="221"/>
        <v>1.0042923487585067</v>
      </c>
      <c r="N567" s="340">
        <f t="shared" si="222"/>
        <v>9.2488391033530862E-2</v>
      </c>
      <c r="O567" s="341">
        <f t="shared" si="223"/>
        <v>1.0017622300127811</v>
      </c>
      <c r="P567" s="342">
        <f t="shared" si="224"/>
        <v>0.14032801221991939</v>
      </c>
      <c r="Q567" s="343">
        <f t="shared" si="225"/>
        <v>-5.5757983338329078</v>
      </c>
      <c r="R567" s="344">
        <f t="shared" si="226"/>
        <v>-73.296712833692183</v>
      </c>
      <c r="S567" s="346">
        <f t="shared" si="227"/>
        <v>106.70328716630782</v>
      </c>
      <c r="U567" s="319">
        <f t="shared" si="233"/>
        <v>94412</v>
      </c>
      <c r="V567" s="319">
        <f t="shared" si="234"/>
        <v>8913625744</v>
      </c>
      <c r="X567" s="345">
        <f t="shared" si="228"/>
        <v>4.9101608473926923</v>
      </c>
      <c r="Y567" s="346">
        <f t="shared" si="229"/>
        <v>-8.9444601465654365</v>
      </c>
      <c r="AA567" s="345">
        <f t="shared" si="230"/>
        <v>27.732007832120658</v>
      </c>
      <c r="AB567" s="346">
        <f t="shared" si="231"/>
        <v>-64.352252687126736</v>
      </c>
      <c r="AD567">
        <f t="shared" si="235"/>
        <v>0</v>
      </c>
      <c r="AE567">
        <f t="shared" si="238"/>
        <v>0</v>
      </c>
    </row>
    <row r="568" spans="1:31" x14ac:dyDescent="0.2">
      <c r="A568" s="347">
        <v>94955.5</v>
      </c>
      <c r="B568" s="364">
        <f t="shared" si="232"/>
        <v>94.955500000000001</v>
      </c>
      <c r="C568" s="337">
        <f t="shared" si="213"/>
        <v>1.8254182619361052</v>
      </c>
      <c r="D568" s="338">
        <f t="shared" si="214"/>
        <v>0.99104052994521064</v>
      </c>
      <c r="E568" s="338">
        <f t="shared" si="215"/>
        <v>1.0000157261452391</v>
      </c>
      <c r="F568" s="339">
        <f t="shared" si="216"/>
        <v>5.6081974196350651E-3</v>
      </c>
      <c r="G568" s="338">
        <f t="shared" si="217"/>
        <v>1</v>
      </c>
      <c r="H568" s="339">
        <f t="shared" si="218"/>
        <v>0</v>
      </c>
      <c r="I568" s="337">
        <f t="shared" si="219"/>
        <v>687325.48466613481</v>
      </c>
      <c r="J568" s="340">
        <f t="shared" si="220"/>
        <v>1.5707948718801259</v>
      </c>
      <c r="K568" s="348">
        <f t="shared" si="236"/>
        <v>15.818285259809663</v>
      </c>
      <c r="L568" s="349">
        <f t="shared" si="237"/>
        <v>1.5075361649142185</v>
      </c>
      <c r="M568" s="337">
        <f t="shared" si="221"/>
        <v>1.0043418032597651</v>
      </c>
      <c r="N568" s="340">
        <f t="shared" si="222"/>
        <v>9.301776028621056E-2</v>
      </c>
      <c r="O568" s="341">
        <f t="shared" si="223"/>
        <v>1.0017829405617211</v>
      </c>
      <c r="P568" s="342">
        <f t="shared" si="224"/>
        <v>0.1411382901711575</v>
      </c>
      <c r="Q568" s="343">
        <f t="shared" si="225"/>
        <v>-5.6114399320228037</v>
      </c>
      <c r="R568" s="344">
        <f t="shared" si="226"/>
        <v>-73.501724098696599</v>
      </c>
      <c r="S568" s="346">
        <f t="shared" si="227"/>
        <v>106.4982759013034</v>
      </c>
      <c r="U568" s="319">
        <f t="shared" si="233"/>
        <v>94955.5</v>
      </c>
      <c r="V568" s="319">
        <f t="shared" si="234"/>
        <v>9016546980.25</v>
      </c>
      <c r="X568" s="345">
        <f t="shared" si="228"/>
        <v>4.9095327336481898</v>
      </c>
      <c r="Y568" s="346">
        <f t="shared" si="229"/>
        <v>-8.9539820209921963</v>
      </c>
      <c r="AA568" s="345">
        <f t="shared" si="230"/>
        <v>27.696994347675265</v>
      </c>
      <c r="AB568" s="346">
        <f t="shared" si="231"/>
        <v>-64.547742077704413</v>
      </c>
      <c r="AD568">
        <f t="shared" si="235"/>
        <v>0</v>
      </c>
      <c r="AE568">
        <f t="shared" si="238"/>
        <v>0</v>
      </c>
    </row>
    <row r="569" spans="1:31" x14ac:dyDescent="0.2">
      <c r="A569" s="347">
        <v>95499</v>
      </c>
      <c r="B569" s="364">
        <f t="shared" si="232"/>
        <v>95.498999999999995</v>
      </c>
      <c r="C569" s="337">
        <f t="shared" si="213"/>
        <v>1.8327371516996869</v>
      </c>
      <c r="D569" s="338">
        <f t="shared" si="214"/>
        <v>0.99365326729404324</v>
      </c>
      <c r="E569" s="338">
        <f t="shared" si="215"/>
        <v>1.0000159066835459</v>
      </c>
      <c r="F569" s="339">
        <f t="shared" si="216"/>
        <v>5.6402965696248017E-3</v>
      </c>
      <c r="G569" s="338">
        <f t="shared" si="217"/>
        <v>1</v>
      </c>
      <c r="H569" s="339">
        <f t="shared" si="218"/>
        <v>0</v>
      </c>
      <c r="I569" s="337">
        <f t="shared" si="219"/>
        <v>691259.55273923476</v>
      </c>
      <c r="J569" s="340">
        <f t="shared" si="220"/>
        <v>1.5707948801602771</v>
      </c>
      <c r="K569" s="348">
        <f t="shared" si="236"/>
        <v>15.908464095692196</v>
      </c>
      <c r="L569" s="349">
        <f t="shared" si="237"/>
        <v>1.5078952369716927</v>
      </c>
      <c r="M569" s="337">
        <f t="shared" si="221"/>
        <v>1.0043915391817786</v>
      </c>
      <c r="N569" s="340">
        <f t="shared" si="222"/>
        <v>9.3547077260109454E-2</v>
      </c>
      <c r="O569" s="341">
        <f t="shared" si="223"/>
        <v>1.0018037783347651</v>
      </c>
      <c r="P569" s="342">
        <f t="shared" si="224"/>
        <v>0.14194860976099141</v>
      </c>
      <c r="Q569" s="343">
        <f t="shared" si="225"/>
        <v>-5.6470020097862719</v>
      </c>
      <c r="R569" s="344">
        <f t="shared" si="226"/>
        <v>-73.705766458340364</v>
      </c>
      <c r="S569" s="346">
        <f t="shared" si="227"/>
        <v>106.29423354165964</v>
      </c>
      <c r="U569" s="319">
        <f t="shared" si="233"/>
        <v>95499</v>
      </c>
      <c r="V569" s="319">
        <f t="shared" si="234"/>
        <v>9120059001</v>
      </c>
      <c r="X569" s="345">
        <f t="shared" si="228"/>
        <v>4.9089056100934956</v>
      </c>
      <c r="Y569" s="346">
        <f t="shared" si="229"/>
        <v>-8.9637368106157549</v>
      </c>
      <c r="AA569" s="345">
        <f t="shared" si="230"/>
        <v>27.662059393466492</v>
      </c>
      <c r="AB569" s="346">
        <f t="shared" si="231"/>
        <v>-64.742029647724621</v>
      </c>
      <c r="AD569">
        <f t="shared" si="235"/>
        <v>0</v>
      </c>
      <c r="AE569">
        <f t="shared" si="238"/>
        <v>0</v>
      </c>
    </row>
    <row r="570" spans="1:31" x14ac:dyDescent="0.2">
      <c r="A570" s="347">
        <v>96611.5</v>
      </c>
      <c r="B570" s="364">
        <f t="shared" si="232"/>
        <v>96.611500000000007</v>
      </c>
      <c r="C570" s="337">
        <f t="shared" si="213"/>
        <v>1.8477568627355376</v>
      </c>
      <c r="D570" s="338">
        <f t="shared" si="214"/>
        <v>0.99893668951244419</v>
      </c>
      <c r="E570" s="338">
        <f t="shared" si="215"/>
        <v>1.0000162794437837</v>
      </c>
      <c r="F570" s="339">
        <f t="shared" si="216"/>
        <v>5.7060008651629917E-3</v>
      </c>
      <c r="G570" s="338">
        <f t="shared" si="217"/>
        <v>1</v>
      </c>
      <c r="H570" s="339">
        <f t="shared" si="218"/>
        <v>0</v>
      </c>
      <c r="I570" s="337">
        <f t="shared" si="219"/>
        <v>699312.26797626144</v>
      </c>
      <c r="J570" s="340">
        <f t="shared" si="220"/>
        <v>1.570794896818553</v>
      </c>
      <c r="K570" s="348">
        <f t="shared" si="236"/>
        <v>16.093059076198159</v>
      </c>
      <c r="L570" s="349">
        <f t="shared" si="237"/>
        <v>1.5086176788406627</v>
      </c>
      <c r="M570" s="337">
        <f t="shared" si="221"/>
        <v>1.0044942219471651</v>
      </c>
      <c r="N570" s="340">
        <f t="shared" si="222"/>
        <v>9.4630381526250446E-2</v>
      </c>
      <c r="O570" s="341">
        <f t="shared" si="223"/>
        <v>1.0018468288864368</v>
      </c>
      <c r="P570" s="342">
        <f t="shared" si="224"/>
        <v>0.14360739838821465</v>
      </c>
      <c r="Q570" s="343">
        <f t="shared" si="225"/>
        <v>-5.7195457299569927</v>
      </c>
      <c r="R570" s="344">
        <f t="shared" si="226"/>
        <v>-74.120438108719966</v>
      </c>
      <c r="S570" s="346">
        <f t="shared" si="227"/>
        <v>105.87956189128003</v>
      </c>
      <c r="U570" s="319">
        <f t="shared" si="233"/>
        <v>96611.5</v>
      </c>
      <c r="V570" s="319">
        <f t="shared" si="234"/>
        <v>9333781932.25</v>
      </c>
      <c r="X570" s="345">
        <f t="shared" si="228"/>
        <v>4.9076247106762008</v>
      </c>
      <c r="Y570" s="346">
        <f t="shared" si="229"/>
        <v>-8.9844136574311513</v>
      </c>
      <c r="AA570" s="345">
        <f t="shared" si="230"/>
        <v>27.590796572713071</v>
      </c>
      <c r="AB570" s="346">
        <f t="shared" si="231"/>
        <v>-65.136024451288804</v>
      </c>
      <c r="AD570">
        <f t="shared" si="235"/>
        <v>0</v>
      </c>
      <c r="AE570">
        <f t="shared" si="238"/>
        <v>0</v>
      </c>
    </row>
    <row r="571" spans="1:31" x14ac:dyDescent="0.2">
      <c r="A571" s="347">
        <v>97724</v>
      </c>
      <c r="B571" s="364">
        <f t="shared" si="232"/>
        <v>97.724000000000004</v>
      </c>
      <c r="C571" s="337">
        <f t="shared" si="213"/>
        <v>1.8628273204882904</v>
      </c>
      <c r="D571" s="338">
        <f t="shared" si="214"/>
        <v>1.0041347680662835</v>
      </c>
      <c r="E571" s="338">
        <f t="shared" si="215"/>
        <v>1.000016656521143</v>
      </c>
      <c r="F571" s="339">
        <f t="shared" si="216"/>
        <v>5.7717051114344504E-3</v>
      </c>
      <c r="G571" s="338">
        <f t="shared" si="217"/>
        <v>1</v>
      </c>
      <c r="H571" s="339">
        <f t="shared" si="218"/>
        <v>0</v>
      </c>
      <c r="I571" s="337">
        <f t="shared" si="219"/>
        <v>707364.98321328813</v>
      </c>
      <c r="J571" s="340">
        <f t="shared" si="220"/>
        <v>1.5707949130975498</v>
      </c>
      <c r="K571" s="348">
        <f t="shared" si="236"/>
        <v>16.277662265524075</v>
      </c>
      <c r="L571" s="349">
        <f t="shared" si="237"/>
        <v>1.5093237348025952</v>
      </c>
      <c r="M571" s="337">
        <f t="shared" si="221"/>
        <v>1.0045980832930819</v>
      </c>
      <c r="N571" s="340">
        <f t="shared" si="222"/>
        <v>9.5713463066300145E-2</v>
      </c>
      <c r="O571" s="341">
        <f t="shared" si="223"/>
        <v>1.0018904143243643</v>
      </c>
      <c r="P571" s="342">
        <f t="shared" si="224"/>
        <v>0.14526636428740733</v>
      </c>
      <c r="Q571" s="343">
        <f t="shared" si="225"/>
        <v>-5.791753511211243</v>
      </c>
      <c r="R571" s="344">
        <f t="shared" si="226"/>
        <v>-74.531156147386582</v>
      </c>
      <c r="S571" s="346">
        <f t="shared" si="227"/>
        <v>105.46884385261342</v>
      </c>
      <c r="U571" s="319">
        <f t="shared" si="233"/>
        <v>97724</v>
      </c>
      <c r="V571" s="319">
        <f t="shared" si="234"/>
        <v>9549980176</v>
      </c>
      <c r="X571" s="345">
        <f t="shared" si="228"/>
        <v>4.9063470218095695</v>
      </c>
      <c r="Y571" s="346">
        <f t="shared" si="229"/>
        <v>-9.0060165645682471</v>
      </c>
      <c r="AA571" s="345">
        <f t="shared" si="230"/>
        <v>27.519866480325451</v>
      </c>
      <c r="AB571" s="346">
        <f t="shared" si="231"/>
        <v>-65.525139582818326</v>
      </c>
      <c r="AD571">
        <f t="shared" si="235"/>
        <v>0</v>
      </c>
      <c r="AE571">
        <f t="shared" si="238"/>
        <v>0</v>
      </c>
    </row>
    <row r="572" spans="1:31" x14ac:dyDescent="0.2">
      <c r="A572" s="347">
        <v>98862</v>
      </c>
      <c r="B572" s="364">
        <f t="shared" si="232"/>
        <v>98.861999999999995</v>
      </c>
      <c r="C572" s="337">
        <f t="shared" si="213"/>
        <v>1.878294444780565</v>
      </c>
      <c r="D572" s="338">
        <f t="shared" si="214"/>
        <v>1.0093655456669051</v>
      </c>
      <c r="E572" s="338">
        <f t="shared" si="215"/>
        <v>1.0000170467083058</v>
      </c>
      <c r="F572" s="339">
        <f t="shared" si="216"/>
        <v>5.8389153360555082E-3</v>
      </c>
      <c r="G572" s="338">
        <f t="shared" si="217"/>
        <v>1</v>
      </c>
      <c r="H572" s="339">
        <f t="shared" si="218"/>
        <v>0</v>
      </c>
      <c r="I572" s="337">
        <f t="shared" si="219"/>
        <v>715602.27754114126</v>
      </c>
      <c r="J572" s="340">
        <f t="shared" si="220"/>
        <v>1.5707949293706132</v>
      </c>
      <c r="K572" s="348">
        <f t="shared" si="236"/>
        <v>16.466505014234276</v>
      </c>
      <c r="L572" s="349">
        <f t="shared" si="237"/>
        <v>1.5100295947537679</v>
      </c>
      <c r="M572" s="337">
        <f t="shared" si="221"/>
        <v>1.0047055443121198</v>
      </c>
      <c r="N572" s="340">
        <f t="shared" si="222"/>
        <v>9.6821137276481395E-2</v>
      </c>
      <c r="O572" s="341">
        <f t="shared" si="223"/>
        <v>1.001935553518214</v>
      </c>
      <c r="P572" s="342">
        <f t="shared" si="224"/>
        <v>0.14696354129767228</v>
      </c>
      <c r="Q572" s="343">
        <f t="shared" si="225"/>
        <v>-5.8652672198039548</v>
      </c>
      <c r="R572" s="344">
        <f t="shared" si="226"/>
        <v>-74.947271039080363</v>
      </c>
      <c r="S572" s="346">
        <f t="shared" si="227"/>
        <v>105.05272896091964</v>
      </c>
      <c r="U572" s="319">
        <f t="shared" si="233"/>
        <v>98862</v>
      </c>
      <c r="V572" s="319">
        <f t="shared" si="234"/>
        <v>9773695044</v>
      </c>
      <c r="X572" s="345">
        <f t="shared" si="228"/>
        <v>4.9050427558357015</v>
      </c>
      <c r="Y572" s="346">
        <f t="shared" si="229"/>
        <v>-9.029039758161769</v>
      </c>
      <c r="AA572" s="345">
        <f t="shared" si="230"/>
        <v>27.447657037706605</v>
      </c>
      <c r="AB572" s="346">
        <f t="shared" si="231"/>
        <v>-65.91823128091859</v>
      </c>
      <c r="AD572">
        <f t="shared" si="235"/>
        <v>0</v>
      </c>
      <c r="AE572">
        <f t="shared" si="238"/>
        <v>0</v>
      </c>
    </row>
    <row r="573" spans="1:31" x14ac:dyDescent="0.2">
      <c r="A573" s="347">
        <v>100000</v>
      </c>
      <c r="B573" s="364">
        <f t="shared" si="232"/>
        <v>100</v>
      </c>
      <c r="C573" s="337">
        <f t="shared" si="213"/>
        <v>1.8938121208814074</v>
      </c>
      <c r="D573" s="338">
        <f t="shared" si="214"/>
        <v>1.0145107413662484</v>
      </c>
      <c r="E573" s="338">
        <f t="shared" si="215"/>
        <v>1.0000174414127563</v>
      </c>
      <c r="F573" s="339">
        <f t="shared" si="216"/>
        <v>5.906125507924743E-3</v>
      </c>
      <c r="G573" s="338">
        <f t="shared" si="217"/>
        <v>1</v>
      </c>
      <c r="H573" s="339">
        <f t="shared" si="218"/>
        <v>0</v>
      </c>
      <c r="I573" s="337">
        <f t="shared" si="219"/>
        <v>723839.57186899462</v>
      </c>
      <c r="J573" s="340">
        <f t="shared" si="220"/>
        <v>1.5707949452733014</v>
      </c>
      <c r="K573" s="348">
        <f t="shared" si="236"/>
        <v>16.655355781141434</v>
      </c>
      <c r="L573" s="349">
        <f t="shared" si="237"/>
        <v>1.5107194479157262</v>
      </c>
      <c r="M573" s="337">
        <f t="shared" si="221"/>
        <v>1.004814237782194</v>
      </c>
      <c r="N573" s="340">
        <f t="shared" si="222"/>
        <v>9.7928573204956515E-2</v>
      </c>
      <c r="O573" s="341">
        <f t="shared" si="223"/>
        <v>1.0019812550578668</v>
      </c>
      <c r="P573" s="342">
        <f t="shared" si="224"/>
        <v>0.14866090777801277</v>
      </c>
      <c r="Q573" s="343">
        <f t="shared" si="225"/>
        <v>-5.9384264446681687</v>
      </c>
      <c r="R573" s="344">
        <f t="shared" si="226"/>
        <v>-75.359396755590254</v>
      </c>
      <c r="S573" s="346">
        <f t="shared" si="227"/>
        <v>104.64060324440975</v>
      </c>
      <c r="U573" s="319">
        <f t="shared" si="233"/>
        <v>100000</v>
      </c>
      <c r="V573" s="319">
        <f t="shared" si="234"/>
        <v>10000000000</v>
      </c>
      <c r="X573" s="345">
        <f t="shared" si="228"/>
        <v>4.9037406408673023</v>
      </c>
      <c r="Y573" s="346">
        <f t="shared" si="229"/>
        <v>-9.0529663994648484</v>
      </c>
      <c r="AA573" s="345">
        <f t="shared" si="230"/>
        <v>27.375799927810789</v>
      </c>
      <c r="AB573" s="346">
        <f t="shared" si="231"/>
        <v>-66.306430356125432</v>
      </c>
      <c r="AD573">
        <f t="shared" si="235"/>
        <v>0</v>
      </c>
      <c r="AE573">
        <f t="shared" si="238"/>
        <v>0</v>
      </c>
    </row>
    <row r="574" spans="1:31" x14ac:dyDescent="0.2">
      <c r="A574" s="347">
        <v>101165</v>
      </c>
      <c r="B574" s="364">
        <f t="shared" si="232"/>
        <v>101.16500000000001</v>
      </c>
      <c r="C574" s="337">
        <f t="shared" si="213"/>
        <v>1.9097490453158017</v>
      </c>
      <c r="D574" s="338">
        <f t="shared" si="214"/>
        <v>1.0196912566594527</v>
      </c>
      <c r="E574" s="338">
        <f t="shared" si="215"/>
        <v>1.0000178501612176</v>
      </c>
      <c r="F574" s="339">
        <f t="shared" si="216"/>
        <v>5.9749302419505514E-3</v>
      </c>
      <c r="G574" s="338">
        <f t="shared" si="217"/>
        <v>1</v>
      </c>
      <c r="H574" s="339">
        <f t="shared" si="218"/>
        <v>0</v>
      </c>
      <c r="I574" s="337">
        <f t="shared" si="219"/>
        <v>732272.30288125237</v>
      </c>
      <c r="J574" s="340">
        <f t="shared" si="220"/>
        <v>1.5707949611826837</v>
      </c>
      <c r="K574" s="348">
        <f t="shared" si="236"/>
        <v>16.848695214457916</v>
      </c>
      <c r="L574" s="349">
        <f t="shared" si="237"/>
        <v>1.5114096487487911</v>
      </c>
      <c r="M574" s="337">
        <f t="shared" si="221"/>
        <v>1.0049267863373388</v>
      </c>
      <c r="N574" s="340">
        <f t="shared" si="222"/>
        <v>9.906203439157038E-2</v>
      </c>
      <c r="O574" s="341">
        <f t="shared" si="223"/>
        <v>1.0020286248490935</v>
      </c>
      <c r="P574" s="342">
        <f t="shared" si="224"/>
        <v>0.15039874405242151</v>
      </c>
      <c r="Q574" s="343">
        <f t="shared" si="225"/>
        <v>-6.0129530804694244</v>
      </c>
      <c r="R574" s="344">
        <f t="shared" si="226"/>
        <v>-75.777244740233783</v>
      </c>
      <c r="S574" s="346">
        <f t="shared" si="227"/>
        <v>104.22275525976622</v>
      </c>
      <c r="U574" s="319">
        <f t="shared" si="233"/>
        <v>101165</v>
      </c>
      <c r="V574" s="319">
        <f t="shared" si="234"/>
        <v>10234357225</v>
      </c>
      <c r="X574" s="345">
        <f t="shared" si="228"/>
        <v>4.9024092757899451</v>
      </c>
      <c r="Y574" s="346">
        <f t="shared" si="229"/>
        <v>-9.0783642585181568</v>
      </c>
      <c r="AA574" s="345">
        <f t="shared" si="230"/>
        <v>27.302604657086892</v>
      </c>
      <c r="AB574" s="346">
        <f t="shared" si="231"/>
        <v>-66.698880481715619</v>
      </c>
      <c r="AD574">
        <f t="shared" si="235"/>
        <v>0</v>
      </c>
      <c r="AE574">
        <f t="shared" si="238"/>
        <v>0</v>
      </c>
    </row>
    <row r="575" spans="1:31" x14ac:dyDescent="0.2">
      <c r="A575" s="347">
        <v>102330</v>
      </c>
      <c r="B575" s="364">
        <f t="shared" si="232"/>
        <v>102.33</v>
      </c>
      <c r="C575" s="337">
        <f t="shared" si="213"/>
        <v>1.9257363739810975</v>
      </c>
      <c r="D575" s="338">
        <f t="shared" si="214"/>
        <v>1.0247858902470504</v>
      </c>
      <c r="E575" s="338">
        <f t="shared" si="215"/>
        <v>1.000018263643851</v>
      </c>
      <c r="F575" s="339">
        <f t="shared" si="216"/>
        <v>6.0437349194040011E-3</v>
      </c>
      <c r="G575" s="338">
        <f t="shared" si="217"/>
        <v>1</v>
      </c>
      <c r="H575" s="339">
        <f t="shared" si="218"/>
        <v>0</v>
      </c>
      <c r="I575" s="337">
        <f t="shared" si="219"/>
        <v>740705.03389351035</v>
      </c>
      <c r="J575" s="340">
        <f t="shared" si="220"/>
        <v>1.5707949767298177</v>
      </c>
      <c r="K575" s="348">
        <f t="shared" si="236"/>
        <v>17.04204249199115</v>
      </c>
      <c r="L575" s="349">
        <f t="shared" si="237"/>
        <v>1.5120841888104999</v>
      </c>
      <c r="M575" s="337">
        <f t="shared" si="221"/>
        <v>1.0050406256662319</v>
      </c>
      <c r="N575" s="340">
        <f t="shared" si="222"/>
        <v>0.10019524026314226</v>
      </c>
      <c r="O575" s="341">
        <f t="shared" si="223"/>
        <v>1.0020765869024779</v>
      </c>
      <c r="P575" s="342">
        <f t="shared" si="224"/>
        <v>0.15213678313518164</v>
      </c>
      <c r="Q575" s="343">
        <f t="shared" si="225"/>
        <v>-6.0871061330878575</v>
      </c>
      <c r="R575" s="344">
        <f t="shared" si="226"/>
        <v>-76.191066335780931</v>
      </c>
      <c r="S575" s="346">
        <f t="shared" si="227"/>
        <v>103.80893366421907</v>
      </c>
      <c r="U575" s="319">
        <f t="shared" si="233"/>
        <v>102330</v>
      </c>
      <c r="V575" s="319">
        <f t="shared" si="234"/>
        <v>10471428900</v>
      </c>
      <c r="X575" s="345">
        <f t="shared" si="228"/>
        <v>4.9010790113531764</v>
      </c>
      <c r="Y575" s="346">
        <f t="shared" si="229"/>
        <v>-9.1046447644454549</v>
      </c>
      <c r="AA575" s="345">
        <f t="shared" si="230"/>
        <v>27.229781868905228</v>
      </c>
      <c r="AB575" s="346">
        <f t="shared" si="231"/>
        <v>-67.086421571335478</v>
      </c>
      <c r="AD575">
        <f t="shared" si="235"/>
        <v>0</v>
      </c>
      <c r="AE575">
        <f t="shared" si="238"/>
        <v>0</v>
      </c>
    </row>
    <row r="576" spans="1:31" x14ac:dyDescent="0.2">
      <c r="A576" s="347">
        <v>103520</v>
      </c>
      <c r="B576" s="364">
        <f t="shared" si="232"/>
        <v>103.52</v>
      </c>
      <c r="C576" s="337">
        <f t="shared" si="213"/>
        <v>1.9421175223220801</v>
      </c>
      <c r="D576" s="338">
        <f t="shared" si="214"/>
        <v>1.029903118655197</v>
      </c>
      <c r="E576" s="338">
        <f t="shared" si="215"/>
        <v>1.0000186908871456</v>
      </c>
      <c r="F576" s="339">
        <f t="shared" si="216"/>
        <v>6.1140160329980781E-3</v>
      </c>
      <c r="G576" s="338">
        <f t="shared" si="217"/>
        <v>1</v>
      </c>
      <c r="H576" s="339">
        <f t="shared" si="218"/>
        <v>0</v>
      </c>
      <c r="I576" s="337">
        <f t="shared" si="219"/>
        <v>749318.72479873546</v>
      </c>
      <c r="J576" s="340">
        <f t="shared" si="220"/>
        <v>1.5707949922493063</v>
      </c>
      <c r="K576" s="348">
        <f t="shared" si="236"/>
        <v>17.239546676820432</v>
      </c>
      <c r="L576" s="349">
        <f t="shared" si="237"/>
        <v>1.5127575827701931</v>
      </c>
      <c r="M576" s="337">
        <f t="shared" si="221"/>
        <v>1.0051582400625929</v>
      </c>
      <c r="N576" s="340">
        <f t="shared" si="222"/>
        <v>0.10135249732962578</v>
      </c>
      <c r="O576" s="341">
        <f t="shared" si="223"/>
        <v>1.0021261912068971</v>
      </c>
      <c r="P576" s="342">
        <f t="shared" si="224"/>
        <v>0.15391233079739949</v>
      </c>
      <c r="Q576" s="343">
        <f t="shared" si="225"/>
        <v>-6.1624640668113422</v>
      </c>
      <c r="R576" s="344">
        <f t="shared" si="226"/>
        <v>-76.609690706113881</v>
      </c>
      <c r="S576" s="346">
        <f t="shared" si="227"/>
        <v>103.39030929388612</v>
      </c>
      <c r="U576" s="319">
        <f t="shared" si="233"/>
        <v>103520</v>
      </c>
      <c r="V576" s="319">
        <f t="shared" si="234"/>
        <v>10716390400</v>
      </c>
      <c r="X576" s="345">
        <f t="shared" si="228"/>
        <v>4.8997207809299752</v>
      </c>
      <c r="Y576" s="346">
        <f t="shared" si="229"/>
        <v>-9.1323689675595006</v>
      </c>
      <c r="AA576" s="345">
        <f t="shared" si="230"/>
        <v>27.155782165604947</v>
      </c>
      <c r="AB576" s="346">
        <f t="shared" si="231"/>
        <v>-67.477321738554394</v>
      </c>
      <c r="AD576">
        <f t="shared" si="235"/>
        <v>0</v>
      </c>
      <c r="AE576">
        <f t="shared" si="238"/>
        <v>0</v>
      </c>
    </row>
    <row r="577" spans="1:31" x14ac:dyDescent="0.2">
      <c r="A577" s="347">
        <v>104710</v>
      </c>
      <c r="B577" s="364">
        <f t="shared" si="232"/>
        <v>104.71</v>
      </c>
      <c r="C577" s="337">
        <f t="shared" si="213"/>
        <v>1.9585486755179777</v>
      </c>
      <c r="D577" s="338">
        <f t="shared" si="214"/>
        <v>1.0349346154843109</v>
      </c>
      <c r="E577" s="338">
        <f t="shared" si="215"/>
        <v>1.0000191230699633</v>
      </c>
      <c r="F577" s="339">
        <f t="shared" si="216"/>
        <v>6.1842970861918879E-3</v>
      </c>
      <c r="G577" s="338">
        <f t="shared" si="217"/>
        <v>1</v>
      </c>
      <c r="H577" s="339">
        <f t="shared" si="218"/>
        <v>0</v>
      </c>
      <c r="I577" s="337">
        <f t="shared" si="219"/>
        <v>757932.41570396069</v>
      </c>
      <c r="J577" s="340">
        <f t="shared" si="220"/>
        <v>1.5707950074160453</v>
      </c>
      <c r="K577" s="348">
        <f t="shared" si="236"/>
        <v>17.437058501991245</v>
      </c>
      <c r="L577" s="349">
        <f t="shared" si="237"/>
        <v>1.5134157217811268</v>
      </c>
      <c r="M577" s="337">
        <f t="shared" si="221"/>
        <v>1.0052772002949708</v>
      </c>
      <c r="N577" s="340">
        <f t="shared" si="222"/>
        <v>0.10250948205552211</v>
      </c>
      <c r="O577" s="341">
        <f t="shared" si="223"/>
        <v>1.0021764166467937</v>
      </c>
      <c r="P577" s="342">
        <f t="shared" si="224"/>
        <v>0.15568809456173788</v>
      </c>
      <c r="Q577" s="343">
        <f t="shared" si="225"/>
        <v>-6.2374310641455217</v>
      </c>
      <c r="R577" s="344">
        <f t="shared" si="226"/>
        <v>-77.024273823996111</v>
      </c>
      <c r="S577" s="346">
        <f t="shared" si="227"/>
        <v>102.97572617600389</v>
      </c>
      <c r="U577" s="319">
        <f t="shared" si="233"/>
        <v>104710</v>
      </c>
      <c r="V577" s="319">
        <f t="shared" si="234"/>
        <v>10964184100</v>
      </c>
      <c r="X577" s="345">
        <f t="shared" si="228"/>
        <v>4.8983626034330694</v>
      </c>
      <c r="Y577" s="346">
        <f t="shared" si="229"/>
        <v>-9.1609515906778363</v>
      </c>
      <c r="AA577" s="345">
        <f t="shared" si="230"/>
        <v>27.082173345767671</v>
      </c>
      <c r="AB577" s="346">
        <f t="shared" si="231"/>
        <v>-67.863322233318257</v>
      </c>
      <c r="AD577">
        <f t="shared" si="235"/>
        <v>0</v>
      </c>
      <c r="AE577">
        <f t="shared" si="238"/>
        <v>0</v>
      </c>
    </row>
    <row r="578" spans="1:31" x14ac:dyDescent="0.2">
      <c r="A578" s="347">
        <v>105930</v>
      </c>
      <c r="B578" s="364">
        <f t="shared" si="232"/>
        <v>105.93</v>
      </c>
      <c r="C578" s="337">
        <f t="shared" si="213"/>
        <v>1.9754446648845536</v>
      </c>
      <c r="D578" s="338">
        <f t="shared" si="214"/>
        <v>1.0400059322614232</v>
      </c>
      <c r="E578" s="338">
        <f t="shared" si="215"/>
        <v>1.0000195712760209</v>
      </c>
      <c r="F578" s="339">
        <f t="shared" si="216"/>
        <v>6.2563498672124299E-3</v>
      </c>
      <c r="G578" s="338">
        <f t="shared" si="217"/>
        <v>1</v>
      </c>
      <c r="H578" s="339">
        <f t="shared" si="218"/>
        <v>0</v>
      </c>
      <c r="I578" s="337">
        <f t="shared" si="219"/>
        <v>766763.2584807463</v>
      </c>
      <c r="J578" s="340">
        <f t="shared" si="220"/>
        <v>1.5707950226113838</v>
      </c>
      <c r="K578" s="348">
        <f t="shared" si="236"/>
        <v>17.639557279887452</v>
      </c>
      <c r="L578" s="349">
        <f t="shared" si="237"/>
        <v>1.5140751517254161</v>
      </c>
      <c r="M578" s="337">
        <f t="shared" si="221"/>
        <v>1.0054005561813073</v>
      </c>
      <c r="N578" s="340">
        <f t="shared" si="222"/>
        <v>0.10369534859702061</v>
      </c>
      <c r="O578" s="341">
        <f t="shared" si="223"/>
        <v>1.0022285548070409</v>
      </c>
      <c r="P578" s="342">
        <f t="shared" si="224"/>
        <v>0.15750885218911589</v>
      </c>
      <c r="Q578" s="343">
        <f t="shared" si="225"/>
        <v>-6.3138819249757159</v>
      </c>
      <c r="R578" s="344">
        <f t="shared" si="226"/>
        <v>-77.445195745519911</v>
      </c>
      <c r="S578" s="346">
        <f t="shared" si="227"/>
        <v>102.55480425448009</v>
      </c>
      <c r="U578" s="319">
        <f t="shared" si="233"/>
        <v>105930</v>
      </c>
      <c r="V578" s="319">
        <f t="shared" si="234"/>
        <v>11221164900</v>
      </c>
      <c r="X578" s="345">
        <f t="shared" si="228"/>
        <v>4.8969697103883121</v>
      </c>
      <c r="Y578" s="346">
        <f t="shared" si="229"/>
        <v>-9.191115056542392</v>
      </c>
      <c r="AA578" s="345">
        <f t="shared" si="230"/>
        <v>27.007115377982235</v>
      </c>
      <c r="AB578" s="346">
        <f t="shared" si="231"/>
        <v>-68.254080688977552</v>
      </c>
      <c r="AD578">
        <f t="shared" si="235"/>
        <v>0</v>
      </c>
      <c r="AE578">
        <f t="shared" si="238"/>
        <v>0</v>
      </c>
    </row>
    <row r="579" spans="1:31" x14ac:dyDescent="0.2">
      <c r="A579" s="347">
        <v>107150</v>
      </c>
      <c r="B579" s="364">
        <f t="shared" si="232"/>
        <v>107.15</v>
      </c>
      <c r="C579" s="337">
        <f t="shared" si="213"/>
        <v>1.9923905968049378</v>
      </c>
      <c r="D579" s="338">
        <f t="shared" si="214"/>
        <v>1.0449911090329109</v>
      </c>
      <c r="E579" s="338">
        <f t="shared" si="215"/>
        <v>1.0000200246737785</v>
      </c>
      <c r="F579" s="339">
        <f t="shared" si="216"/>
        <v>6.3284025832712112E-3</v>
      </c>
      <c r="G579" s="338">
        <f t="shared" si="217"/>
        <v>1</v>
      </c>
      <c r="H579" s="339">
        <f t="shared" si="218"/>
        <v>0</v>
      </c>
      <c r="I579" s="337">
        <f t="shared" si="219"/>
        <v>775594.10125753225</v>
      </c>
      <c r="J579" s="340">
        <f t="shared" si="220"/>
        <v>1.5707950374606967</v>
      </c>
      <c r="K579" s="348">
        <f t="shared" si="236"/>
        <v>17.842063554191871</v>
      </c>
      <c r="L579" s="349">
        <f t="shared" si="237"/>
        <v>1.5147196129697227</v>
      </c>
      <c r="M579" s="337">
        <f t="shared" si="221"/>
        <v>1.0055253255937271</v>
      </c>
      <c r="N579" s="340">
        <f t="shared" si="222"/>
        <v>0.10488092251174949</v>
      </c>
      <c r="O579" s="341">
        <f t="shared" si="223"/>
        <v>1.0022813493153298</v>
      </c>
      <c r="P579" s="342">
        <f t="shared" si="224"/>
        <v>0.15932984175564927</v>
      </c>
      <c r="Q579" s="343">
        <f t="shared" si="225"/>
        <v>-6.3899216968032935</v>
      </c>
      <c r="R579" s="344">
        <f t="shared" si="226"/>
        <v>-77.862036358355411</v>
      </c>
      <c r="S579" s="346">
        <f t="shared" si="227"/>
        <v>102.13796364164459</v>
      </c>
      <c r="U579" s="319">
        <f t="shared" si="233"/>
        <v>107150</v>
      </c>
      <c r="V579" s="319">
        <f t="shared" si="234"/>
        <v>11481122500</v>
      </c>
      <c r="X579" s="345">
        <f t="shared" si="228"/>
        <v>4.8955758246145322</v>
      </c>
      <c r="Y579" s="346">
        <f t="shared" si="229"/>
        <v>-9.2221193796370233</v>
      </c>
      <c r="AA579" s="345">
        <f t="shared" si="230"/>
        <v>26.932469491928437</v>
      </c>
      <c r="AB579" s="346">
        <f t="shared" si="231"/>
        <v>-68.639916978718418</v>
      </c>
      <c r="AD579">
        <f t="shared" si="235"/>
        <v>0</v>
      </c>
      <c r="AE579">
        <f t="shared" si="238"/>
        <v>0</v>
      </c>
    </row>
    <row r="580" spans="1:31" x14ac:dyDescent="0.2">
      <c r="A580" s="347">
        <v>108400</v>
      </c>
      <c r="B580" s="364">
        <f t="shared" si="232"/>
        <v>108.4</v>
      </c>
      <c r="C580" s="337">
        <f t="shared" si="213"/>
        <v>2.0098037107315783</v>
      </c>
      <c r="D580" s="338">
        <f t="shared" si="214"/>
        <v>1.0500115515151001</v>
      </c>
      <c r="E580" s="338">
        <f t="shared" si="215"/>
        <v>1.0000204946054212</v>
      </c>
      <c r="F580" s="339">
        <f t="shared" si="216"/>
        <v>6.4022270192700412E-3</v>
      </c>
      <c r="G580" s="338">
        <f t="shared" si="217"/>
        <v>1</v>
      </c>
      <c r="H580" s="339">
        <f t="shared" si="218"/>
        <v>0</v>
      </c>
      <c r="I580" s="337">
        <f t="shared" si="219"/>
        <v>784642.0959058787</v>
      </c>
      <c r="J580" s="340">
        <f t="shared" si="220"/>
        <v>1.5707950523284804</v>
      </c>
      <c r="K580" s="348">
        <f t="shared" si="236"/>
        <v>18.049557002315559</v>
      </c>
      <c r="L580" s="349">
        <f t="shared" si="237"/>
        <v>1.5153649225631478</v>
      </c>
      <c r="M580" s="337">
        <f t="shared" si="221"/>
        <v>1.0056546286479595</v>
      </c>
      <c r="N580" s="340">
        <f t="shared" si="222"/>
        <v>0.10609534300399932</v>
      </c>
      <c r="O580" s="341">
        <f t="shared" si="223"/>
        <v>1.0023361246894855</v>
      </c>
      <c r="P580" s="342">
        <f t="shared" si="224"/>
        <v>0.16119585284815088</v>
      </c>
      <c r="Q580" s="343">
        <f t="shared" si="225"/>
        <v>-6.4674051983895477</v>
      </c>
      <c r="R580" s="344">
        <f t="shared" si="226"/>
        <v>-78.284979760312424</v>
      </c>
      <c r="S580" s="346">
        <f t="shared" si="227"/>
        <v>101.71502023968758</v>
      </c>
      <c r="U580" s="319">
        <f t="shared" si="233"/>
        <v>108400</v>
      </c>
      <c r="V580" s="319">
        <f t="shared" si="234"/>
        <v>11750560000</v>
      </c>
      <c r="X580" s="345">
        <f t="shared" si="228"/>
        <v>4.8941461251986444</v>
      </c>
      <c r="Y580" s="346">
        <f t="shared" si="229"/>
        <v>-9.2547278841130858</v>
      </c>
      <c r="AA580" s="345">
        <f t="shared" si="230"/>
        <v>26.856415689758069</v>
      </c>
      <c r="AB580" s="346">
        <f t="shared" si="231"/>
        <v>-69.03025187619933</v>
      </c>
      <c r="AD580">
        <f t="shared" si="235"/>
        <v>0</v>
      </c>
      <c r="AE580">
        <f t="shared" si="238"/>
        <v>0</v>
      </c>
    </row>
    <row r="581" spans="1:31" x14ac:dyDescent="0.2">
      <c r="A581" s="347">
        <v>109650</v>
      </c>
      <c r="B581" s="364">
        <f t="shared" si="232"/>
        <v>109.65</v>
      </c>
      <c r="C581" s="337">
        <f t="shared" si="213"/>
        <v>2.027266610479054</v>
      </c>
      <c r="D581" s="338">
        <f t="shared" si="214"/>
        <v>1.0549456242750785</v>
      </c>
      <c r="E581" s="338">
        <f t="shared" si="215"/>
        <v>1.0000209699872176</v>
      </c>
      <c r="F581" s="339">
        <f t="shared" si="216"/>
        <v>6.4760513854831012E-3</v>
      </c>
      <c r="G581" s="338">
        <f t="shared" si="217"/>
        <v>1</v>
      </c>
      <c r="H581" s="339">
        <f t="shared" si="218"/>
        <v>0</v>
      </c>
      <c r="I581" s="337">
        <f t="shared" si="219"/>
        <v>793690.09055422514</v>
      </c>
      <c r="J581" s="340">
        <f t="shared" si="220"/>
        <v>1.5707950668572812</v>
      </c>
      <c r="K581" s="348">
        <f t="shared" si="236"/>
        <v>18.257057795868061</v>
      </c>
      <c r="L581" s="349">
        <f t="shared" si="237"/>
        <v>1.5159955638675044</v>
      </c>
      <c r="M581" s="337">
        <f t="shared" si="221"/>
        <v>1.0057854144762444</v>
      </c>
      <c r="N581" s="340">
        <f t="shared" si="222"/>
        <v>0.10730944945568005</v>
      </c>
      <c r="O581" s="341">
        <f t="shared" si="223"/>
        <v>1.0023915929394289</v>
      </c>
      <c r="P581" s="342">
        <f t="shared" si="224"/>
        <v>0.16306211255899225</v>
      </c>
      <c r="Q581" s="343">
        <f t="shared" si="225"/>
        <v>-6.5444579445440807</v>
      </c>
      <c r="R581" s="344">
        <f t="shared" si="226"/>
        <v>-78.703811208919149</v>
      </c>
      <c r="S581" s="346">
        <f t="shared" si="227"/>
        <v>101.29618879108085</v>
      </c>
      <c r="U581" s="319">
        <f t="shared" si="233"/>
        <v>109650</v>
      </c>
      <c r="V581" s="319">
        <f t="shared" si="234"/>
        <v>12023122500</v>
      </c>
      <c r="X581" s="345">
        <f t="shared" si="228"/>
        <v>4.8927143804605899</v>
      </c>
      <c r="Y581" s="346">
        <f t="shared" si="229"/>
        <v>-9.2881588070249119</v>
      </c>
      <c r="AA581" s="345">
        <f t="shared" si="230"/>
        <v>26.78079468834159</v>
      </c>
      <c r="AB581" s="346">
        <f t="shared" si="231"/>
        <v>-69.415652401894221</v>
      </c>
      <c r="AD581">
        <f t="shared" si="235"/>
        <v>0</v>
      </c>
      <c r="AE581">
        <f t="shared" si="238"/>
        <v>0</v>
      </c>
    </row>
    <row r="582" spans="1:31" x14ac:dyDescent="0.2">
      <c r="A582" s="347">
        <v>110925</v>
      </c>
      <c r="B582" s="364">
        <f t="shared" si="232"/>
        <v>110.925</v>
      </c>
      <c r="C582" s="337">
        <f t="shared" si="213"/>
        <v>2.0451287349515597</v>
      </c>
      <c r="D582" s="338">
        <f t="shared" si="214"/>
        <v>1.0598914490144886</v>
      </c>
      <c r="E582" s="338">
        <f t="shared" si="215"/>
        <v>1.0000214604913904</v>
      </c>
      <c r="F582" s="339">
        <f t="shared" si="216"/>
        <v>6.5513521662927095E-3</v>
      </c>
      <c r="G582" s="338">
        <f t="shared" si="217"/>
        <v>1</v>
      </c>
      <c r="H582" s="339">
        <f t="shared" si="218"/>
        <v>0</v>
      </c>
      <c r="I582" s="337">
        <f t="shared" si="219"/>
        <v>802919.04509553884</v>
      </c>
      <c r="J582" s="340">
        <f t="shared" si="220"/>
        <v>1.5707950813393228</v>
      </c>
      <c r="K582" s="348">
        <f t="shared" si="236"/>
        <v>18.468715915791545</v>
      </c>
      <c r="L582" s="349">
        <f t="shared" si="237"/>
        <v>1.5166242189479398</v>
      </c>
      <c r="M582" s="337">
        <f t="shared" si="221"/>
        <v>1.0059203429750976</v>
      </c>
      <c r="N582" s="340">
        <f t="shared" si="222"/>
        <v>0.10854751092759495</v>
      </c>
      <c r="O582" s="341">
        <f t="shared" si="223"/>
        <v>1.0024488864106742</v>
      </c>
      <c r="P582" s="342">
        <f t="shared" si="224"/>
        <v>0.16496595626927699</v>
      </c>
      <c r="Q582" s="343">
        <f t="shared" si="225"/>
        <v>-6.6226087615684515</v>
      </c>
      <c r="R582" s="344">
        <f t="shared" si="226"/>
        <v>-79.126871129699509</v>
      </c>
      <c r="S582" s="346">
        <f t="shared" si="227"/>
        <v>100.87312887030049</v>
      </c>
      <c r="U582" s="319">
        <f t="shared" si="233"/>
        <v>110925</v>
      </c>
      <c r="V582" s="319">
        <f t="shared" si="234"/>
        <v>12304355625</v>
      </c>
      <c r="X582" s="345">
        <f t="shared" si="228"/>
        <v>4.8912514118422212</v>
      </c>
      <c r="Y582" s="346">
        <f t="shared" si="229"/>
        <v>-9.3230760510647404</v>
      </c>
      <c r="AA582" s="345">
        <f t="shared" si="230"/>
        <v>26.704106839935591</v>
      </c>
      <c r="AB582" s="346">
        <f t="shared" si="231"/>
        <v>-69.803795078634735</v>
      </c>
      <c r="AD582">
        <f t="shared" si="235"/>
        <v>0</v>
      </c>
      <c r="AE582">
        <f t="shared" si="238"/>
        <v>0</v>
      </c>
    </row>
    <row r="583" spans="1:31" x14ac:dyDescent="0.2">
      <c r="A583" s="347">
        <v>112200</v>
      </c>
      <c r="B583" s="364">
        <f t="shared" si="232"/>
        <v>112.2</v>
      </c>
      <c r="C583" s="337">
        <f t="shared" si="213"/>
        <v>2.0630400187138727</v>
      </c>
      <c r="D583" s="338">
        <f t="shared" si="214"/>
        <v>1.0647515117661555</v>
      </c>
      <c r="E583" s="338">
        <f t="shared" si="215"/>
        <v>1.0000219566658868</v>
      </c>
      <c r="F583" s="339">
        <f t="shared" si="216"/>
        <v>6.6266528728062745E-3</v>
      </c>
      <c r="G583" s="338">
        <f t="shared" si="217"/>
        <v>1</v>
      </c>
      <c r="H583" s="339">
        <f t="shared" si="218"/>
        <v>0</v>
      </c>
      <c r="I583" s="337">
        <f t="shared" si="219"/>
        <v>812147.99963685253</v>
      </c>
      <c r="J583" s="340">
        <f t="shared" si="220"/>
        <v>1.5707950954922272</v>
      </c>
      <c r="K583" s="348">
        <f t="shared" si="236"/>
        <v>18.680381169281063</v>
      </c>
      <c r="L583" s="349">
        <f t="shared" si="237"/>
        <v>1.5172386278296053</v>
      </c>
      <c r="M583" s="337">
        <f t="shared" si="221"/>
        <v>1.0060568129298804</v>
      </c>
      <c r="N583" s="340">
        <f t="shared" si="222"/>
        <v>0.10978523841425547</v>
      </c>
      <c r="O583" s="341">
        <f t="shared" si="223"/>
        <v>1.0025069049392696</v>
      </c>
      <c r="P583" s="342">
        <f t="shared" si="224"/>
        <v>0.1668700640598654</v>
      </c>
      <c r="Q583" s="343">
        <f t="shared" si="225"/>
        <v>-6.7003132276036759</v>
      </c>
      <c r="R583" s="344">
        <f t="shared" si="226"/>
        <v>-79.545829477738479</v>
      </c>
      <c r="S583" s="346">
        <f t="shared" si="227"/>
        <v>100.45417052226152</v>
      </c>
      <c r="U583" s="319">
        <f t="shared" si="233"/>
        <v>112200</v>
      </c>
      <c r="V583" s="319">
        <f t="shared" si="234"/>
        <v>12588840000</v>
      </c>
      <c r="X583" s="345">
        <f t="shared" si="228"/>
        <v>4.8897853667385993</v>
      </c>
      <c r="Y583" s="346">
        <f t="shared" si="229"/>
        <v>-9.3587903873654419</v>
      </c>
      <c r="AA583" s="345">
        <f t="shared" si="230"/>
        <v>26.627868419003985</v>
      </c>
      <c r="AB583" s="346">
        <f t="shared" si="231"/>
        <v>-70.187039090373034</v>
      </c>
      <c r="AD583">
        <f t="shared" si="235"/>
        <v>0</v>
      </c>
      <c r="AE583">
        <f t="shared" si="238"/>
        <v>0</v>
      </c>
    </row>
    <row r="584" spans="1:31" x14ac:dyDescent="0.2">
      <c r="A584" s="347">
        <v>113510</v>
      </c>
      <c r="B584" s="364">
        <f t="shared" si="232"/>
        <v>113.51</v>
      </c>
      <c r="C584" s="337">
        <f t="shared" si="213"/>
        <v>2.0814928528912238</v>
      </c>
      <c r="D584" s="338">
        <f t="shared" si="214"/>
        <v>1.0696577512937191</v>
      </c>
      <c r="E584" s="338">
        <f t="shared" si="215"/>
        <v>1.000022472366795</v>
      </c>
      <c r="F584" s="339">
        <f t="shared" si="216"/>
        <v>6.7040205792571299E-3</v>
      </c>
      <c r="G584" s="338">
        <f t="shared" si="217"/>
        <v>1</v>
      </c>
      <c r="H584" s="339">
        <f t="shared" si="218"/>
        <v>0</v>
      </c>
      <c r="I584" s="337">
        <f t="shared" si="219"/>
        <v>821630.29802832019</v>
      </c>
      <c r="J584" s="340">
        <f t="shared" si="220"/>
        <v>1.5707951097024861</v>
      </c>
      <c r="K584" s="348">
        <f t="shared" si="236"/>
        <v>18.897864019539735</v>
      </c>
      <c r="L584" s="349">
        <f t="shared" si="237"/>
        <v>1.5178555673301926</v>
      </c>
      <c r="M584" s="337">
        <f t="shared" si="221"/>
        <v>1.0061986339678566</v>
      </c>
      <c r="N584" s="340">
        <f t="shared" si="222"/>
        <v>0.11105659102810865</v>
      </c>
      <c r="O584" s="341">
        <f t="shared" si="223"/>
        <v>1.0025672735803606</v>
      </c>
      <c r="P584" s="342">
        <f t="shared" si="224"/>
        <v>0.1688267193884932</v>
      </c>
      <c r="Q584" s="343">
        <f t="shared" si="225"/>
        <v>-6.779687162044036</v>
      </c>
      <c r="R584" s="344">
        <f t="shared" si="226"/>
        <v>-79.972107469313158</v>
      </c>
      <c r="S584" s="346">
        <f t="shared" si="227"/>
        <v>100.02789253068684</v>
      </c>
      <c r="U584" s="319">
        <f t="shared" si="233"/>
        <v>113510</v>
      </c>
      <c r="V584" s="319">
        <f t="shared" si="234"/>
        <v>12884520100</v>
      </c>
      <c r="X584" s="345">
        <f t="shared" si="228"/>
        <v>4.8882754122914402</v>
      </c>
      <c r="Y584" s="346">
        <f t="shared" si="229"/>
        <v>-9.3962863110443084</v>
      </c>
      <c r="AA584" s="345">
        <f t="shared" si="230"/>
        <v>26.550004439010785</v>
      </c>
      <c r="AB584" s="346">
        <f t="shared" si="231"/>
        <v>-70.575821158268838</v>
      </c>
      <c r="AD584">
        <f t="shared" si="235"/>
        <v>0</v>
      </c>
      <c r="AE584">
        <f t="shared" si="238"/>
        <v>0</v>
      </c>
    </row>
    <row r="585" spans="1:31" x14ac:dyDescent="0.2">
      <c r="A585" s="347">
        <v>114820</v>
      </c>
      <c r="B585" s="364">
        <f t="shared" si="232"/>
        <v>114.82</v>
      </c>
      <c r="C585" s="337">
        <f t="shared" si="213"/>
        <v>2.0999949098382809</v>
      </c>
      <c r="D585" s="338">
        <f t="shared" si="214"/>
        <v>1.0744776520576325</v>
      </c>
      <c r="E585" s="338">
        <f t="shared" si="215"/>
        <v>1.0000229940535932</v>
      </c>
      <c r="F585" s="339">
        <f t="shared" si="216"/>
        <v>6.7813882054495213E-3</v>
      </c>
      <c r="G585" s="338">
        <f t="shared" si="217"/>
        <v>1</v>
      </c>
      <c r="H585" s="339">
        <f t="shared" si="218"/>
        <v>0</v>
      </c>
      <c r="I585" s="337">
        <f t="shared" si="219"/>
        <v>831112.5964197882</v>
      </c>
      <c r="J585" s="340">
        <f t="shared" si="220"/>
        <v>1.5707951235884907</v>
      </c>
      <c r="K585" s="348">
        <f t="shared" si="236"/>
        <v>19.115353898924461</v>
      </c>
      <c r="L585" s="349">
        <f t="shared" si="237"/>
        <v>1.5184584682786868</v>
      </c>
      <c r="M585" s="337">
        <f t="shared" si="221"/>
        <v>1.006342080902457</v>
      </c>
      <c r="N585" s="340">
        <f t="shared" si="222"/>
        <v>0.11232758325121123</v>
      </c>
      <c r="O585" s="341">
        <f t="shared" si="223"/>
        <v>1.0026284122626723</v>
      </c>
      <c r="P585" s="342">
        <f t="shared" si="224"/>
        <v>0.17078365930428133</v>
      </c>
      <c r="Q585" s="343">
        <f t="shared" si="225"/>
        <v>-6.8585927725785361</v>
      </c>
      <c r="R585" s="344">
        <f t="shared" si="226"/>
        <v>-80.394238606697257</v>
      </c>
      <c r="S585" s="346">
        <f t="shared" si="227"/>
        <v>99.605761393302743</v>
      </c>
      <c r="U585" s="319">
        <f t="shared" si="233"/>
        <v>114820</v>
      </c>
      <c r="V585" s="319">
        <f t="shared" si="234"/>
        <v>13183632400</v>
      </c>
      <c r="X585" s="345">
        <f t="shared" si="228"/>
        <v>4.8867612992010123</v>
      </c>
      <c r="Y585" s="346">
        <f t="shared" si="229"/>
        <v>-9.4345659170620717</v>
      </c>
      <c r="AA585" s="345">
        <f t="shared" si="230"/>
        <v>26.472612941566712</v>
      </c>
      <c r="AB585" s="346">
        <f t="shared" si="231"/>
        <v>-70.959672689635156</v>
      </c>
      <c r="AD585">
        <f t="shared" si="235"/>
        <v>0</v>
      </c>
      <c r="AE585">
        <f t="shared" si="238"/>
        <v>0</v>
      </c>
    </row>
    <row r="586" spans="1:31" x14ac:dyDescent="0.2">
      <c r="A586" s="347">
        <v>116155</v>
      </c>
      <c r="B586" s="364">
        <f t="shared" si="232"/>
        <v>116.155</v>
      </c>
      <c r="C586" s="337">
        <f t="shared" si="213"/>
        <v>2.1188993652281827</v>
      </c>
      <c r="D586" s="338">
        <f t="shared" si="214"/>
        <v>1.0793028225532679</v>
      </c>
      <c r="E586" s="338">
        <f t="shared" si="215"/>
        <v>1.0000235318545689</v>
      </c>
      <c r="F586" s="339">
        <f t="shared" si="216"/>
        <v>6.8602322295284275E-3</v>
      </c>
      <c r="G586" s="338">
        <f t="shared" si="217"/>
        <v>1</v>
      </c>
      <c r="H586" s="339">
        <f t="shared" si="218"/>
        <v>0</v>
      </c>
      <c r="I586" s="337">
        <f t="shared" si="219"/>
        <v>840775.85470422299</v>
      </c>
      <c r="J586" s="340">
        <f t="shared" si="220"/>
        <v>1.5707951374172588</v>
      </c>
      <c r="K586" s="348">
        <f t="shared" si="236"/>
        <v>19.337001334586109</v>
      </c>
      <c r="L586" s="349">
        <f t="shared" si="237"/>
        <v>1.5190589219843813</v>
      </c>
      <c r="M586" s="337">
        <f t="shared" si="221"/>
        <v>1.006489937389724</v>
      </c>
      <c r="N586" s="340">
        <f t="shared" si="222"/>
        <v>0.1136224561871276</v>
      </c>
      <c r="O586" s="341">
        <f t="shared" si="223"/>
        <v>1.0026915124089617</v>
      </c>
      <c r="P586" s="342">
        <f t="shared" si="224"/>
        <v>0.17277824121657184</v>
      </c>
      <c r="Q586" s="343">
        <f t="shared" si="225"/>
        <v>-6.9385242286004907</v>
      </c>
      <c r="R586" s="344">
        <f t="shared" si="226"/>
        <v>-80.82025229109729</v>
      </c>
      <c r="S586" s="346">
        <f t="shared" si="227"/>
        <v>99.17974770890271</v>
      </c>
      <c r="U586" s="319">
        <f t="shared" si="233"/>
        <v>116155</v>
      </c>
      <c r="V586" s="319">
        <f t="shared" si="234"/>
        <v>13491984025</v>
      </c>
      <c r="X586" s="345">
        <f t="shared" si="228"/>
        <v>4.885213575197068</v>
      </c>
      <c r="Y586" s="346">
        <f t="shared" si="229"/>
        <v>-9.4743540005420197</v>
      </c>
      <c r="AA586" s="345">
        <f t="shared" si="230"/>
        <v>26.394229209548705</v>
      </c>
      <c r="AB586" s="346">
        <f t="shared" si="231"/>
        <v>-71.345898290555283</v>
      </c>
      <c r="AD586">
        <f t="shared" si="235"/>
        <v>0</v>
      </c>
      <c r="AE586">
        <f t="shared" si="238"/>
        <v>0</v>
      </c>
    </row>
    <row r="587" spans="1:31" x14ac:dyDescent="0.2">
      <c r="A587" s="347">
        <v>117490</v>
      </c>
      <c r="B587" s="364">
        <f t="shared" si="232"/>
        <v>117.49</v>
      </c>
      <c r="C587" s="337">
        <f t="shared" si="213"/>
        <v>2.1378522802695583</v>
      </c>
      <c r="D587" s="338">
        <f t="shared" si="214"/>
        <v>1.0840425476471063</v>
      </c>
      <c r="E587" s="338">
        <f t="shared" si="215"/>
        <v>1.0000240758720647</v>
      </c>
      <c r="F587" s="339">
        <f t="shared" si="216"/>
        <v>6.9390761683144645E-3</v>
      </c>
      <c r="G587" s="338">
        <f t="shared" si="217"/>
        <v>1</v>
      </c>
      <c r="H587" s="339">
        <f t="shared" si="218"/>
        <v>0</v>
      </c>
      <c r="I587" s="337">
        <f t="shared" si="219"/>
        <v>850439.11298865813</v>
      </c>
      <c r="J587" s="340">
        <f t="shared" si="220"/>
        <v>1.5707951509317635</v>
      </c>
      <c r="K587" s="348">
        <f t="shared" si="236"/>
        <v>19.558655584082441</v>
      </c>
      <c r="L587" s="349">
        <f t="shared" si="237"/>
        <v>1.5196457662592351</v>
      </c>
      <c r="M587" s="337">
        <f t="shared" si="221"/>
        <v>1.0066394809571655</v>
      </c>
      <c r="N587" s="340">
        <f t="shared" si="222"/>
        <v>0.114916946567517</v>
      </c>
      <c r="O587" s="341">
        <f t="shared" si="223"/>
        <v>1.0027554172997863</v>
      </c>
      <c r="P587" s="342">
        <f t="shared" si="224"/>
        <v>0.17477312480395502</v>
      </c>
      <c r="Q587" s="343">
        <f t="shared" si="225"/>
        <v>-7.0179732190384208</v>
      </c>
      <c r="R587" s="344">
        <f t="shared" si="226"/>
        <v>-81.24214543031303</v>
      </c>
      <c r="S587" s="346">
        <f t="shared" si="227"/>
        <v>98.75785456968697</v>
      </c>
      <c r="U587" s="319">
        <f t="shared" si="233"/>
        <v>117490</v>
      </c>
      <c r="V587" s="319">
        <f t="shared" si="234"/>
        <v>13803900100</v>
      </c>
      <c r="X587" s="345">
        <f t="shared" si="228"/>
        <v>4.8836606725163376</v>
      </c>
      <c r="Y587" s="346">
        <f t="shared" si="229"/>
        <v>-9.5148999101484968</v>
      </c>
      <c r="AA587" s="345">
        <f t="shared" si="230"/>
        <v>26.316333121791505</v>
      </c>
      <c r="AB587" s="346">
        <f t="shared" si="231"/>
        <v>-71.727245520164558</v>
      </c>
      <c r="AD587">
        <f t="shared" si="235"/>
        <v>0</v>
      </c>
      <c r="AE587">
        <f t="shared" si="238"/>
        <v>0</v>
      </c>
    </row>
    <row r="588" spans="1:31" x14ac:dyDescent="0.2">
      <c r="A588" s="347">
        <v>118860</v>
      </c>
      <c r="B588" s="364">
        <f t="shared" si="232"/>
        <v>118.86</v>
      </c>
      <c r="C588" s="337">
        <f t="shared" si="213"/>
        <v>2.1573511307514459</v>
      </c>
      <c r="D588" s="338">
        <f t="shared" si="214"/>
        <v>1.08881984170848</v>
      </c>
      <c r="E588" s="338">
        <f t="shared" si="215"/>
        <v>1.0000246406153064</v>
      </c>
      <c r="F588" s="339">
        <f t="shared" si="216"/>
        <v>7.0199870869524054E-3</v>
      </c>
      <c r="G588" s="338">
        <f t="shared" si="217"/>
        <v>1</v>
      </c>
      <c r="H588" s="339">
        <f t="shared" si="218"/>
        <v>0</v>
      </c>
      <c r="I588" s="337">
        <f t="shared" si="219"/>
        <v>860355.71512324712</v>
      </c>
      <c r="J588" s="340">
        <f t="shared" si="220"/>
        <v>1.5707951644849563</v>
      </c>
      <c r="K588" s="348">
        <f t="shared" si="236"/>
        <v>19.786127837653201</v>
      </c>
      <c r="L588" s="349">
        <f t="shared" si="237"/>
        <v>1.5202343259164963</v>
      </c>
      <c r="M588" s="337">
        <f t="shared" si="221"/>
        <v>1.0067946983598264</v>
      </c>
      <c r="N588" s="340">
        <f t="shared" si="222"/>
        <v>0.11624497279660329</v>
      </c>
      <c r="O588" s="341">
        <f t="shared" si="223"/>
        <v>1.0028218369767017</v>
      </c>
      <c r="P588" s="342">
        <f t="shared" si="224"/>
        <v>0.17682062557215533</v>
      </c>
      <c r="Q588" s="343">
        <f t="shared" si="225"/>
        <v>-7.0990059058346535</v>
      </c>
      <c r="R588" s="344">
        <f t="shared" si="226"/>
        <v>-81.670910606623124</v>
      </c>
      <c r="S588" s="346">
        <f t="shared" si="227"/>
        <v>98.329089393376876</v>
      </c>
      <c r="U588" s="319">
        <f t="shared" si="233"/>
        <v>118860</v>
      </c>
      <c r="V588" s="319">
        <f t="shared" si="234"/>
        <v>14127699600</v>
      </c>
      <c r="X588" s="345">
        <f t="shared" si="228"/>
        <v>4.8820612568113013</v>
      </c>
      <c r="Y588" s="346">
        <f t="shared" si="229"/>
        <v>-9.5572690003942355</v>
      </c>
      <c r="AA588" s="345">
        <f t="shared" si="230"/>
        <v>26.236899850700304</v>
      </c>
      <c r="AB588" s="346">
        <f t="shared" si="231"/>
        <v>-72.113641606228896</v>
      </c>
      <c r="AD588">
        <f t="shared" si="235"/>
        <v>0</v>
      </c>
      <c r="AE588">
        <f t="shared" si="238"/>
        <v>0</v>
      </c>
    </row>
    <row r="589" spans="1:31" x14ac:dyDescent="0.2">
      <c r="A589" s="347">
        <v>120230</v>
      </c>
      <c r="B589" s="364">
        <f t="shared" si="232"/>
        <v>120.23</v>
      </c>
      <c r="C589" s="337">
        <f t="shared" ref="C589:C613" si="239">SQRT(1+(A589/pole1)^2)</f>
        <v>2.1768983347794491</v>
      </c>
      <c r="D589" s="338">
        <f t="shared" ref="D589:D613" si="240">ATAN(A589/pole1)</f>
        <v>1.0935114469425558</v>
      </c>
      <c r="E589" s="338">
        <f t="shared" ref="E589:E613" si="241">SQRT(1+(A589/Zero1)^2)</f>
        <v>1.000025211905279</v>
      </c>
      <c r="F589" s="339">
        <f t="shared" ref="F589:F613" si="242">ATAN(A589/Zero1)</f>
        <v>7.1008979136751704E-3</v>
      </c>
      <c r="G589" s="338">
        <f t="shared" ref="G589:G613" si="243">IF(VIN_nom&gt;Vout, 1, SQRT(1+(A589/z_RHP)^2))</f>
        <v>1</v>
      </c>
      <c r="H589" s="339">
        <f t="shared" ref="H589:H613" si="244">IF(VIN_nom&gt;Vout, 0, -ATAN(A589/z_RHP))</f>
        <v>0</v>
      </c>
      <c r="I589" s="337">
        <f t="shared" ref="I589:I613" si="245">SQRT(1+(A589/Pole2)^2)</f>
        <v>870272.31725783623</v>
      </c>
      <c r="J589" s="340">
        <f t="shared" ref="J589:J613" si="246">ATAN(A589/Pole2)</f>
        <v>1.5707951777292763</v>
      </c>
      <c r="K589" s="348">
        <f t="shared" si="236"/>
        <v>20.013606789383495</v>
      </c>
      <c r="L589" s="349">
        <f t="shared" si="237"/>
        <v>1.5208095063783855</v>
      </c>
      <c r="M589" s="337">
        <f t="shared" ref="M589:M613" si="247">SQRT(1+(A589/pole4)^2)</f>
        <v>1.0069516908504064</v>
      </c>
      <c r="N589" s="340">
        <f t="shared" ref="N589:N613" si="248">ATAN(A589/pole4)</f>
        <v>0.11757258726495209</v>
      </c>
      <c r="O589" s="341">
        <f t="shared" ref="O589:O613" si="249">SQRT((1-(V589/pterm2))^2+(A589/pterm1)^2)</f>
        <v>1.002889109689816</v>
      </c>
      <c r="P589" s="342">
        <f t="shared" ref="P589:P613" si="250">IF((ATAN((A589/pterm1)/(1-A589^2/pterm2))&gt;0),ATAN((A589/pterm1)/(1-A589^2/pterm2)),PI()+ATAN((A589/pterm1)/(1-A589^2/pterm2)))</f>
        <v>0.17886845057706716</v>
      </c>
      <c r="Q589" s="343">
        <f t="shared" ref="Q589:Q613" si="251">20*LOG10(((E589*K589*G589)/(C589*I589*O589*M589))*Adc)</f>
        <v>-7.1795355042450009</v>
      </c>
      <c r="R589" s="344">
        <f t="shared" ref="R589:R613" si="252">((F589+L589+H589)-(D589+J589+P589+N589))*radconv</f>
        <v>-82.095527719012964</v>
      </c>
      <c r="S589" s="346">
        <f t="shared" ref="S589:S613" si="253">IF(R589&gt;0,R589,R589+180)</f>
        <v>97.904472280987036</v>
      </c>
      <c r="U589" s="319">
        <f t="shared" si="233"/>
        <v>120230</v>
      </c>
      <c r="V589" s="319">
        <f t="shared" si="234"/>
        <v>14455252900</v>
      </c>
      <c r="X589" s="345">
        <f t="shared" ref="X589:X613" si="254">20*LOG10((K589/(I589*M589))*AEA)</f>
        <v>4.8804555653288615</v>
      </c>
      <c r="Y589" s="346">
        <f t="shared" ref="Y589:Y613" si="255">(L589-(J589+N589))*radconv</f>
        <v>-9.600381052219392</v>
      </c>
      <c r="AA589" s="345">
        <f t="shared" ref="AA589:AA613" si="256">20*LOG10((E589*G589/(C589*O589))*Acs*Am)</f>
        <v>26.157975943772399</v>
      </c>
      <c r="AB589" s="346">
        <f t="shared" ref="AB589:AB613" si="257">(F589+H589-(D589+P589))*radconv</f>
        <v>-72.495146666793545</v>
      </c>
      <c r="AD589">
        <f t="shared" si="235"/>
        <v>0</v>
      </c>
      <c r="AE589">
        <f t="shared" si="238"/>
        <v>0</v>
      </c>
    </row>
    <row r="590" spans="1:31" x14ac:dyDescent="0.2">
      <c r="A590" s="347">
        <v>126030</v>
      </c>
      <c r="B590" s="364">
        <f t="shared" ref="B590:B613" si="258">A590/1000</f>
        <v>126.03</v>
      </c>
      <c r="C590" s="337">
        <f t="shared" si="239"/>
        <v>2.2601596629399596</v>
      </c>
      <c r="D590" s="338">
        <f t="shared" si="240"/>
        <v>1.1124713028420208</v>
      </c>
      <c r="E590" s="338">
        <f t="shared" si="241"/>
        <v>1.0000277030320319</v>
      </c>
      <c r="F590" s="339">
        <f t="shared" si="242"/>
        <v>7.4434390571477913E-3</v>
      </c>
      <c r="G590" s="338">
        <f t="shared" si="243"/>
        <v>1</v>
      </c>
      <c r="H590" s="339">
        <f t="shared" si="244"/>
        <v>0</v>
      </c>
      <c r="I590" s="337">
        <f t="shared" si="245"/>
        <v>912255.01242617145</v>
      </c>
      <c r="J590" s="340">
        <f t="shared" si="246"/>
        <v>1.5707952306101824</v>
      </c>
      <c r="K590" s="348">
        <f t="shared" si="236"/>
        <v>20.976725554477994</v>
      </c>
      <c r="L590" s="349">
        <f t="shared" si="237"/>
        <v>1.523106369020049</v>
      </c>
      <c r="M590" s="337">
        <f t="shared" si="247"/>
        <v>1.0076359764057758</v>
      </c>
      <c r="N590" s="340">
        <f t="shared" si="248"/>
        <v>0.12318848011866901</v>
      </c>
      <c r="O590" s="341">
        <f t="shared" si="249"/>
        <v>1.0031834304201561</v>
      </c>
      <c r="P590" s="342">
        <f t="shared" si="250"/>
        <v>0.18754174209361588</v>
      </c>
      <c r="Q590" s="343">
        <f t="shared" si="251"/>
        <v>-7.5149577263326002</v>
      </c>
      <c r="R590" s="344">
        <f t="shared" si="252"/>
        <v>-83.849333733866601</v>
      </c>
      <c r="S590" s="346">
        <f t="shared" si="253"/>
        <v>96.150666266133399</v>
      </c>
      <c r="U590" s="319">
        <f t="shared" ref="U590:U613" si="259">IF(Q590&lt;0,A590,1000000000)</f>
        <v>126030</v>
      </c>
      <c r="V590" s="319">
        <f t="shared" ref="V590:V613" si="260">A590^2</f>
        <v>15883560900</v>
      </c>
      <c r="X590" s="345">
        <f t="shared" si="254"/>
        <v>4.8735798580943808</v>
      </c>
      <c r="Y590" s="346">
        <f t="shared" si="255"/>
        <v>-9.7905505055165101</v>
      </c>
      <c r="AA590" s="345">
        <f t="shared" si="256"/>
        <v>25.829429428919276</v>
      </c>
      <c r="AB590" s="346">
        <f t="shared" si="257"/>
        <v>-74.058783228350109</v>
      </c>
      <c r="AD590">
        <f t="shared" ref="AD590:AD613" si="261">SUM((Q591&lt;0)*(Q590&gt;0))*A590</f>
        <v>0</v>
      </c>
      <c r="AE590">
        <f t="shared" si="238"/>
        <v>0</v>
      </c>
    </row>
    <row r="591" spans="1:31" x14ac:dyDescent="0.2">
      <c r="A591" s="347">
        <v>131830</v>
      </c>
      <c r="B591" s="364">
        <f t="shared" si="258"/>
        <v>131.83000000000001</v>
      </c>
      <c r="C591" s="337">
        <f t="shared" si="239"/>
        <v>2.3441755863880172</v>
      </c>
      <c r="D591" s="338">
        <f t="shared" si="240"/>
        <v>1.1300780634496133</v>
      </c>
      <c r="E591" s="338">
        <f t="shared" si="241"/>
        <v>1.0000303114958777</v>
      </c>
      <c r="F591" s="339">
        <f t="shared" si="242"/>
        <v>7.785978453853694E-3</v>
      </c>
      <c r="G591" s="338">
        <f t="shared" si="243"/>
        <v>1</v>
      </c>
      <c r="H591" s="339">
        <f t="shared" si="244"/>
        <v>0</v>
      </c>
      <c r="I591" s="337">
        <f t="shared" si="245"/>
        <v>954237.707594509</v>
      </c>
      <c r="J591" s="340">
        <f t="shared" si="246"/>
        <v>1.570795278837986</v>
      </c>
      <c r="K591" s="348">
        <f t="shared" si="236"/>
        <v>21.93994526772509</v>
      </c>
      <c r="L591" s="349">
        <f t="shared" si="237"/>
        <v>1.525201565631189</v>
      </c>
      <c r="M591" s="337">
        <f t="shared" si="247"/>
        <v>1.0083519973231729</v>
      </c>
      <c r="N591" s="340">
        <f t="shared" si="248"/>
        <v>0.1287965740553062</v>
      </c>
      <c r="O591" s="341">
        <f t="shared" si="249"/>
        <v>1.0034933150731844</v>
      </c>
      <c r="P591" s="342">
        <f t="shared" si="250"/>
        <v>0.19622114984479277</v>
      </c>
      <c r="Q591" s="343">
        <f t="shared" si="251"/>
        <v>-7.8416575155485173</v>
      </c>
      <c r="R591" s="344">
        <f t="shared" si="252"/>
        <v>-85.537071134438108</v>
      </c>
      <c r="S591" s="346">
        <f t="shared" si="253"/>
        <v>94.462928865561892</v>
      </c>
      <c r="U591" s="319">
        <f t="shared" si="259"/>
        <v>131830</v>
      </c>
      <c r="V591" s="319">
        <f t="shared" si="260"/>
        <v>17379148900</v>
      </c>
      <c r="X591" s="345">
        <f t="shared" si="254"/>
        <v>4.8665604575110679</v>
      </c>
      <c r="Y591" s="346">
        <f t="shared" si="255"/>
        <v>-9.9918274596098833</v>
      </c>
      <c r="AA591" s="345">
        <f t="shared" si="256"/>
        <v>25.509749040286675</v>
      </c>
      <c r="AB591" s="346">
        <f t="shared" si="257"/>
        <v>-75.545243674828242</v>
      </c>
      <c r="AD591">
        <f t="shared" si="261"/>
        <v>0</v>
      </c>
      <c r="AE591">
        <f t="shared" si="238"/>
        <v>0</v>
      </c>
    </row>
    <row r="592" spans="1:31" x14ac:dyDescent="0.2">
      <c r="A592" s="347">
        <v>144540</v>
      </c>
      <c r="B592" s="364">
        <f t="shared" si="258"/>
        <v>144.54</v>
      </c>
      <c r="C592" s="337">
        <f t="shared" si="239"/>
        <v>2.5305568439030033</v>
      </c>
      <c r="D592" s="338">
        <f t="shared" si="240"/>
        <v>1.164543484156698</v>
      </c>
      <c r="E592" s="338">
        <f t="shared" si="241"/>
        <v>1.0000364379248405</v>
      </c>
      <c r="F592" s="339">
        <f t="shared" si="242"/>
        <v>8.5366057001167363E-3</v>
      </c>
      <c r="G592" s="338">
        <f t="shared" si="243"/>
        <v>1</v>
      </c>
      <c r="H592" s="339">
        <f t="shared" si="244"/>
        <v>0</v>
      </c>
      <c r="I592" s="337">
        <f t="shared" si="245"/>
        <v>1046237.7171789244</v>
      </c>
      <c r="J592" s="340">
        <f t="shared" si="246"/>
        <v>1.5707953709891713</v>
      </c>
      <c r="K592" s="348">
        <f t="shared" si="236"/>
        <v>24.051018755075926</v>
      </c>
      <c r="L592" s="349">
        <f t="shared" si="237"/>
        <v>1.5292060573710791</v>
      </c>
      <c r="M592" s="337">
        <f t="shared" si="247"/>
        <v>1.0100317076513061</v>
      </c>
      <c r="N592" s="340">
        <f t="shared" si="248"/>
        <v>0.14105712815729976</v>
      </c>
      <c r="O592" s="341">
        <f t="shared" si="249"/>
        <v>1.004227966138181</v>
      </c>
      <c r="P592" s="342">
        <f t="shared" si="250"/>
        <v>0.21526358162050829</v>
      </c>
      <c r="Q592" s="343">
        <f t="shared" si="251"/>
        <v>-8.5284541546526942</v>
      </c>
      <c r="R592" s="344">
        <f t="shared" si="252"/>
        <v>-89.032880291926659</v>
      </c>
      <c r="S592" s="346">
        <f t="shared" si="253"/>
        <v>90.967119708073341</v>
      </c>
      <c r="U592" s="319">
        <f t="shared" si="259"/>
        <v>144540</v>
      </c>
      <c r="V592" s="319">
        <f t="shared" si="260"/>
        <v>20891811600</v>
      </c>
      <c r="X592" s="345">
        <f t="shared" si="254"/>
        <v>4.8505863381931542</v>
      </c>
      <c r="Y592" s="346">
        <f t="shared" si="255"/>
        <v>-10.464870268769753</v>
      </c>
      <c r="AA592" s="345">
        <f t="shared" si="256"/>
        <v>24.838926520500415</v>
      </c>
      <c r="AB592" s="346">
        <f t="shared" si="257"/>
        <v>-78.568010023156916</v>
      </c>
      <c r="AD592">
        <f t="shared" si="261"/>
        <v>0</v>
      </c>
      <c r="AE592">
        <f t="shared" si="238"/>
        <v>0</v>
      </c>
    </row>
    <row r="593" spans="1:31" x14ac:dyDescent="0.2">
      <c r="A593" s="347">
        <v>158490</v>
      </c>
      <c r="B593" s="364">
        <f t="shared" si="258"/>
        <v>158.49</v>
      </c>
      <c r="C593" s="337">
        <f t="shared" si="239"/>
        <v>2.7380853220469263</v>
      </c>
      <c r="D593" s="338">
        <f t="shared" si="240"/>
        <v>1.1969285911125611</v>
      </c>
      <c r="E593" s="338">
        <f t="shared" si="241"/>
        <v>1.0000438106467868</v>
      </c>
      <c r="F593" s="339">
        <f t="shared" si="242"/>
        <v>9.3604537677618466E-3</v>
      </c>
      <c r="G593" s="338">
        <f t="shared" si="243"/>
        <v>1</v>
      </c>
      <c r="H593" s="339">
        <f t="shared" si="244"/>
        <v>0</v>
      </c>
      <c r="I593" s="337">
        <f t="shared" si="245"/>
        <v>1147213.3374545106</v>
      </c>
      <c r="J593" s="340">
        <f t="shared" si="246"/>
        <v>1.5707954551174437</v>
      </c>
      <c r="K593" s="348">
        <f t="shared" si="236"/>
        <v>26.368420030194429</v>
      </c>
      <c r="L593" s="349">
        <f t="shared" si="237"/>
        <v>1.5328630770580201</v>
      </c>
      <c r="M593" s="337">
        <f t="shared" si="247"/>
        <v>1.0120494370822095</v>
      </c>
      <c r="N593" s="340">
        <f t="shared" si="248"/>
        <v>0.15446473669982475</v>
      </c>
      <c r="O593" s="341">
        <f t="shared" si="249"/>
        <v>1.0051247508968908</v>
      </c>
      <c r="P593" s="342">
        <f t="shared" si="250"/>
        <v>0.23620184502997169</v>
      </c>
      <c r="Q593" s="343">
        <f t="shared" si="251"/>
        <v>-9.2393589108419736</v>
      </c>
      <c r="R593" s="344">
        <f t="shared" si="252"/>
        <v>-92.599553759499486</v>
      </c>
      <c r="S593" s="346">
        <f t="shared" si="253"/>
        <v>87.400446240500514</v>
      </c>
      <c r="U593" s="319">
        <f t="shared" si="259"/>
        <v>158490</v>
      </c>
      <c r="V593" s="319">
        <f t="shared" si="260"/>
        <v>25119080100</v>
      </c>
      <c r="X593" s="345">
        <f t="shared" si="254"/>
        <v>4.831988260277118</v>
      </c>
      <c r="Y593" s="346">
        <f t="shared" si="255"/>
        <v>-11.023542678795318</v>
      </c>
      <c r="AA593" s="345">
        <f t="shared" si="256"/>
        <v>24.146619842227175</v>
      </c>
      <c r="AB593" s="346">
        <f t="shared" si="257"/>
        <v>-81.576011080704163</v>
      </c>
      <c r="AD593">
        <f t="shared" si="261"/>
        <v>0</v>
      </c>
      <c r="AE593">
        <f t="shared" si="238"/>
        <v>0</v>
      </c>
    </row>
    <row r="594" spans="1:31" x14ac:dyDescent="0.2">
      <c r="A594" s="347">
        <v>173780</v>
      </c>
      <c r="B594" s="364">
        <f t="shared" si="258"/>
        <v>173.78</v>
      </c>
      <c r="C594" s="337">
        <f t="shared" si="239"/>
        <v>2.968361704373347</v>
      </c>
      <c r="D594" s="338">
        <f t="shared" si="240"/>
        <v>1.2271885444433688</v>
      </c>
      <c r="E594" s="338">
        <f t="shared" si="241"/>
        <v>1.0000526712464297</v>
      </c>
      <c r="F594" s="339">
        <f t="shared" si="242"/>
        <v>1.0263423858560806E-2</v>
      </c>
      <c r="G594" s="338">
        <f t="shared" si="243"/>
        <v>1</v>
      </c>
      <c r="H594" s="339">
        <f t="shared" si="244"/>
        <v>0</v>
      </c>
      <c r="I594" s="337">
        <f t="shared" si="245"/>
        <v>1257888.407993136</v>
      </c>
      <c r="J594" s="340">
        <f t="shared" si="246"/>
        <v>1.5707955318118174</v>
      </c>
      <c r="K594" s="348">
        <f t="shared" si="236"/>
        <v>28.908761741802532</v>
      </c>
      <c r="L594" s="349">
        <f t="shared" si="237"/>
        <v>1.5361978356500861</v>
      </c>
      <c r="M594" s="337">
        <f t="shared" si="247"/>
        <v>1.0144690712978346</v>
      </c>
      <c r="N594" s="340">
        <f t="shared" si="248"/>
        <v>0.16909604897710839</v>
      </c>
      <c r="O594" s="341">
        <f t="shared" si="249"/>
        <v>1.0062207970688</v>
      </c>
      <c r="P594" s="342">
        <f t="shared" si="250"/>
        <v>0.25920059301045528</v>
      </c>
      <c r="Q594" s="343">
        <f t="shared" si="251"/>
        <v>-9.9719378274391932</v>
      </c>
      <c r="R594" s="344">
        <f t="shared" si="252"/>
        <v>-96.246565439392171</v>
      </c>
      <c r="S594" s="346">
        <f t="shared" si="253"/>
        <v>83.753434560607829</v>
      </c>
      <c r="U594" s="319">
        <f t="shared" si="259"/>
        <v>173780</v>
      </c>
      <c r="V594" s="319">
        <f t="shared" si="260"/>
        <v>30199488400</v>
      </c>
      <c r="X594" s="345">
        <f t="shared" si="254"/>
        <v>4.8101956783667124</v>
      </c>
      <c r="Y594" s="346">
        <f t="shared" si="255"/>
        <v>-11.670791923004776</v>
      </c>
      <c r="AA594" s="345">
        <f t="shared" si="256"/>
        <v>23.435833507540359</v>
      </c>
      <c r="AB594" s="346">
        <f t="shared" si="257"/>
        <v>-84.575773516387414</v>
      </c>
      <c r="AD594">
        <f t="shared" si="261"/>
        <v>0</v>
      </c>
      <c r="AE594">
        <f t="shared" si="238"/>
        <v>0</v>
      </c>
    </row>
    <row r="595" spans="1:31" x14ac:dyDescent="0.2">
      <c r="A595" s="347">
        <v>190550</v>
      </c>
      <c r="B595" s="364">
        <f t="shared" si="258"/>
        <v>190.55</v>
      </c>
      <c r="C595" s="337">
        <f t="shared" si="239"/>
        <v>3.2235833325450365</v>
      </c>
      <c r="D595" s="338">
        <f t="shared" si="240"/>
        <v>1.255378419316743</v>
      </c>
      <c r="E595" s="338">
        <f t="shared" si="241"/>
        <v>1.0000633271002886</v>
      </c>
      <c r="F595" s="339">
        <f t="shared" si="242"/>
        <v>1.1253777902055983E-2</v>
      </c>
      <c r="G595" s="338">
        <f t="shared" si="243"/>
        <v>1</v>
      </c>
      <c r="H595" s="339">
        <f t="shared" si="244"/>
        <v>0</v>
      </c>
      <c r="I595" s="337">
        <f t="shared" si="245"/>
        <v>1379276.3041954155</v>
      </c>
      <c r="J595" s="340">
        <f t="shared" si="246"/>
        <v>1.5707956017770035</v>
      </c>
      <c r="K595" s="348">
        <f t="shared" si="236"/>
        <v>31.695304108148555</v>
      </c>
      <c r="L595" s="349">
        <f t="shared" si="237"/>
        <v>1.5392406750261376</v>
      </c>
      <c r="M595" s="337">
        <f t="shared" si="247"/>
        <v>1.0173713564095004</v>
      </c>
      <c r="N595" s="340">
        <f t="shared" si="248"/>
        <v>0.18505976630394841</v>
      </c>
      <c r="O595" s="341">
        <f t="shared" si="249"/>
        <v>1.0075652612025592</v>
      </c>
      <c r="P595" s="342">
        <f t="shared" si="250"/>
        <v>0.2844889418552129</v>
      </c>
      <c r="Q595" s="343">
        <f t="shared" si="251"/>
        <v>-10.725573274718375</v>
      </c>
      <c r="R595" s="344">
        <f t="shared" si="252"/>
        <v>-99.994214634557579</v>
      </c>
      <c r="S595" s="346">
        <f t="shared" si="253"/>
        <v>80.005785365442421</v>
      </c>
      <c r="U595" s="319">
        <f t="shared" si="259"/>
        <v>190550</v>
      </c>
      <c r="V595" s="319">
        <f t="shared" si="260"/>
        <v>36309302500</v>
      </c>
      <c r="X595" s="345">
        <f t="shared" si="254"/>
        <v>4.7845072367488548</v>
      </c>
      <c r="Y595" s="346">
        <f t="shared" si="255"/>
        <v>-12.411107706744401</v>
      </c>
      <c r="AA595" s="345">
        <f t="shared" si="256"/>
        <v>22.707886501879031</v>
      </c>
      <c r="AB595" s="346">
        <f t="shared" si="257"/>
        <v>-87.583106927813176</v>
      </c>
      <c r="AD595">
        <f t="shared" si="261"/>
        <v>0</v>
      </c>
      <c r="AE595">
        <f t="shared" si="238"/>
        <v>0</v>
      </c>
    </row>
    <row r="596" spans="1:31" x14ac:dyDescent="0.2">
      <c r="A596" s="347">
        <v>208930</v>
      </c>
      <c r="B596" s="364">
        <f t="shared" si="258"/>
        <v>208.93</v>
      </c>
      <c r="C596" s="337">
        <f t="shared" si="239"/>
        <v>3.5057994961035708</v>
      </c>
      <c r="D596" s="338">
        <f t="shared" si="240"/>
        <v>1.2815377935033236</v>
      </c>
      <c r="E596" s="338">
        <f t="shared" si="241"/>
        <v>1.000076132575898</v>
      </c>
      <c r="F596" s="339">
        <f t="shared" si="242"/>
        <v>1.2339185230071142E-2</v>
      </c>
      <c r="G596" s="338">
        <f t="shared" si="243"/>
        <v>1</v>
      </c>
      <c r="H596" s="339">
        <f t="shared" si="244"/>
        <v>0</v>
      </c>
      <c r="I596" s="337">
        <f t="shared" si="245"/>
        <v>1512318.017504778</v>
      </c>
      <c r="J596" s="340">
        <f t="shared" si="246"/>
        <v>1.5707956655583124</v>
      </c>
      <c r="K596" s="348">
        <f t="shared" si="236"/>
        <v>34.749648254136034</v>
      </c>
      <c r="L596" s="349">
        <f t="shared" si="237"/>
        <v>1.542015083715214</v>
      </c>
      <c r="M596" s="337">
        <f t="shared" si="247"/>
        <v>1.0208482487912991</v>
      </c>
      <c r="N596" s="340">
        <f t="shared" si="248"/>
        <v>0.20244688154092016</v>
      </c>
      <c r="O596" s="341">
        <f t="shared" si="249"/>
        <v>1.0092188552938288</v>
      </c>
      <c r="P596" s="342">
        <f t="shared" si="250"/>
        <v>0.31228635815154565</v>
      </c>
      <c r="Q596" s="343">
        <f t="shared" si="251"/>
        <v>-11.499029782923163</v>
      </c>
      <c r="R596" s="344">
        <f t="shared" si="252"/>
        <v>-103.86077181762792</v>
      </c>
      <c r="S596" s="346">
        <f t="shared" si="253"/>
        <v>76.139228182372079</v>
      </c>
      <c r="U596" s="319">
        <f t="shared" si="259"/>
        <v>208930</v>
      </c>
      <c r="V596" s="319">
        <f t="shared" si="260"/>
        <v>43651744900</v>
      </c>
      <c r="X596" s="345">
        <f t="shared" si="254"/>
        <v>4.7541463703347189</v>
      </c>
      <c r="Y596" s="346">
        <f t="shared" si="255"/>
        <v>-13.248357774558498</v>
      </c>
      <c r="AA596" s="345">
        <f t="shared" si="256"/>
        <v>21.964790860088378</v>
      </c>
      <c r="AB596" s="346">
        <f t="shared" si="257"/>
        <v>-90.612414043069407</v>
      </c>
      <c r="AD596">
        <f t="shared" si="261"/>
        <v>0</v>
      </c>
      <c r="AE596">
        <f t="shared" si="238"/>
        <v>0</v>
      </c>
    </row>
    <row r="597" spans="1:31" x14ac:dyDescent="0.2">
      <c r="A597" s="347">
        <v>229090</v>
      </c>
      <c r="B597" s="364">
        <f t="shared" si="258"/>
        <v>229.09</v>
      </c>
      <c r="C597" s="337">
        <f t="shared" si="239"/>
        <v>3.8176767919872225</v>
      </c>
      <c r="D597" s="338">
        <f t="shared" si="240"/>
        <v>1.3057650963324821</v>
      </c>
      <c r="E597" s="338">
        <f t="shared" si="241"/>
        <v>1.0000915330293807</v>
      </c>
      <c r="F597" s="339">
        <f t="shared" si="242"/>
        <v>1.3529674645991382E-2</v>
      </c>
      <c r="G597" s="338">
        <f t="shared" si="243"/>
        <v>1</v>
      </c>
      <c r="H597" s="339">
        <f t="shared" si="244"/>
        <v>0</v>
      </c>
      <c r="I597" s="337">
        <f t="shared" si="245"/>
        <v>1658244.0751933989</v>
      </c>
      <c r="J597" s="340">
        <f t="shared" si="246"/>
        <v>1.5707957237473629</v>
      </c>
      <c r="K597" s="348">
        <f t="shared" si="236"/>
        <v>38.10004439837229</v>
      </c>
      <c r="L597" s="349">
        <f t="shared" si="237"/>
        <v>1.5445466237781003</v>
      </c>
      <c r="M597" s="337">
        <f t="shared" si="247"/>
        <v>1.025014157239446</v>
      </c>
      <c r="N597" s="340">
        <f t="shared" si="248"/>
        <v>0.22137581953261432</v>
      </c>
      <c r="O597" s="341">
        <f t="shared" si="249"/>
        <v>1.0112620844084297</v>
      </c>
      <c r="P597" s="342">
        <f t="shared" si="250"/>
        <v>0.34287930655295146</v>
      </c>
      <c r="Q597" s="343">
        <f t="shared" si="251"/>
        <v>-12.292683765219241</v>
      </c>
      <c r="R597" s="344">
        <f t="shared" si="252"/>
        <v>-107.87303586078779</v>
      </c>
      <c r="S597" s="346">
        <f t="shared" si="253"/>
        <v>72.126964139212205</v>
      </c>
      <c r="U597" s="319">
        <f t="shared" si="259"/>
        <v>229090</v>
      </c>
      <c r="V597" s="319">
        <f t="shared" si="260"/>
        <v>52482228100</v>
      </c>
      <c r="X597" s="345">
        <f t="shared" si="254"/>
        <v>4.7181676746021255</v>
      </c>
      <c r="Y597" s="346">
        <f t="shared" si="255"/>
        <v>-14.187862805936295</v>
      </c>
      <c r="AA597" s="345">
        <f t="shared" si="256"/>
        <v>21.207115573524895</v>
      </c>
      <c r="AB597" s="346">
        <f t="shared" si="257"/>
        <v>-93.685173054851504</v>
      </c>
      <c r="AD597">
        <f t="shared" si="261"/>
        <v>0</v>
      </c>
      <c r="AE597">
        <f t="shared" si="238"/>
        <v>0</v>
      </c>
    </row>
    <row r="598" spans="1:31" x14ac:dyDescent="0.2">
      <c r="A598" s="347">
        <v>251190</v>
      </c>
      <c r="B598" s="364">
        <f t="shared" si="258"/>
        <v>251.19</v>
      </c>
      <c r="C598" s="337">
        <f t="shared" si="239"/>
        <v>4.1617354143402325</v>
      </c>
      <c r="D598" s="338">
        <f t="shared" si="240"/>
        <v>1.3281375267048519</v>
      </c>
      <c r="E598" s="338">
        <f t="shared" si="241"/>
        <v>1.0001100439685324</v>
      </c>
      <c r="F598" s="339">
        <f t="shared" si="242"/>
        <v>1.4834680858321828E-2</v>
      </c>
      <c r="G598" s="338">
        <f t="shared" si="243"/>
        <v>1</v>
      </c>
      <c r="H598" s="339">
        <f t="shared" si="244"/>
        <v>0</v>
      </c>
      <c r="I598" s="337">
        <f t="shared" si="245"/>
        <v>1818212.6205762674</v>
      </c>
      <c r="J598" s="340">
        <f t="shared" si="246"/>
        <v>1.5707957768042142</v>
      </c>
      <c r="K598" s="348">
        <f t="shared" si="236"/>
        <v>41.773083073784157</v>
      </c>
      <c r="L598" s="349">
        <f t="shared" si="237"/>
        <v>1.5468551794685681</v>
      </c>
      <c r="M598" s="337">
        <f t="shared" si="247"/>
        <v>1.0299992562631235</v>
      </c>
      <c r="N598" s="340">
        <f t="shared" si="248"/>
        <v>0.24194215675242789</v>
      </c>
      <c r="O598" s="341">
        <f t="shared" si="249"/>
        <v>1.0137963301029189</v>
      </c>
      <c r="P598" s="342">
        <f t="shared" si="250"/>
        <v>0.37654687152022409</v>
      </c>
      <c r="Q598" s="343">
        <f t="shared" si="251"/>
        <v>-13.106413232653013</v>
      </c>
      <c r="R598" s="344">
        <f t="shared" si="252"/>
        <v>-112.05521659909317</v>
      </c>
      <c r="S598" s="346">
        <f t="shared" si="253"/>
        <v>67.944783400906829</v>
      </c>
      <c r="U598" s="319">
        <f t="shared" si="259"/>
        <v>251190</v>
      </c>
      <c r="V598" s="319">
        <f t="shared" si="260"/>
        <v>63096416100</v>
      </c>
      <c r="X598" s="345">
        <f t="shared" si="254"/>
        <v>4.6755234125248499</v>
      </c>
      <c r="Y598" s="346">
        <f t="shared" si="255"/>
        <v>-15.233959671968707</v>
      </c>
      <c r="AA598" s="345">
        <f t="shared" si="256"/>
        <v>20.436030368168399</v>
      </c>
      <c r="AB598" s="346">
        <f t="shared" si="257"/>
        <v>-96.821256927124438</v>
      </c>
      <c r="AD598">
        <f t="shared" si="261"/>
        <v>0</v>
      </c>
      <c r="AE598">
        <f t="shared" si="238"/>
        <v>0</v>
      </c>
    </row>
    <row r="599" spans="1:31" x14ac:dyDescent="0.2">
      <c r="A599" s="347">
        <v>275420</v>
      </c>
      <c r="B599" s="364">
        <f t="shared" si="258"/>
        <v>275.42</v>
      </c>
      <c r="C599" s="337">
        <f t="shared" si="239"/>
        <v>4.5409673781652309</v>
      </c>
      <c r="D599" s="338">
        <f t="shared" si="240"/>
        <v>1.3487589972552942</v>
      </c>
      <c r="E599" s="338">
        <f t="shared" si="241"/>
        <v>1.0001322962908998</v>
      </c>
      <c r="F599" s="339">
        <f t="shared" si="242"/>
        <v>1.6265405453849018E-2</v>
      </c>
      <c r="G599" s="338">
        <f t="shared" si="243"/>
        <v>1</v>
      </c>
      <c r="H599" s="339">
        <f t="shared" si="244"/>
        <v>0</v>
      </c>
      <c r="I599" s="337">
        <f t="shared" si="245"/>
        <v>1993598.9488399334</v>
      </c>
      <c r="J599" s="340">
        <f t="shared" si="246"/>
        <v>1.5707958251894958</v>
      </c>
      <c r="K599" s="348">
        <f t="shared" ref="K599:K613" si="262">SQRT(1+(A599/Zero2)^2)</f>
        <v>45.800342380673072</v>
      </c>
      <c r="L599" s="349">
        <f t="shared" ref="L599:L613" si="263">ATAN(A599/Zero2)</f>
        <v>1.5489606937352087</v>
      </c>
      <c r="M599" s="337">
        <f t="shared" si="247"/>
        <v>1.0359603009181566</v>
      </c>
      <c r="N599" s="340">
        <f t="shared" si="248"/>
        <v>0.26425270574530302</v>
      </c>
      <c r="O599" s="341">
        <f t="shared" si="249"/>
        <v>1.0169551384498343</v>
      </c>
      <c r="P599" s="342">
        <f t="shared" si="250"/>
        <v>0.4136224029195098</v>
      </c>
      <c r="Q599" s="343">
        <f t="shared" si="251"/>
        <v>-13.941262599832388</v>
      </c>
      <c r="R599" s="344">
        <f t="shared" si="252"/>
        <v>-116.43670281240892</v>
      </c>
      <c r="S599" s="346">
        <f t="shared" si="253"/>
        <v>63.563297187591075</v>
      </c>
      <c r="U599" s="319">
        <f t="shared" si="259"/>
        <v>275420</v>
      </c>
      <c r="V599" s="319">
        <f t="shared" si="260"/>
        <v>75856176400</v>
      </c>
      <c r="X599" s="345">
        <f t="shared" si="254"/>
        <v>4.6249807103744089</v>
      </c>
      <c r="Y599" s="346">
        <f t="shared" si="255"/>
        <v>-16.391625660292465</v>
      </c>
      <c r="AA599" s="345">
        <f t="shared" si="256"/>
        <v>19.65172370313946</v>
      </c>
      <c r="AB599" s="346">
        <f t="shared" si="257"/>
        <v>-100.04507715211642</v>
      </c>
      <c r="AD599">
        <f t="shared" si="261"/>
        <v>0</v>
      </c>
      <c r="AE599">
        <f t="shared" si="238"/>
        <v>0</v>
      </c>
    </row>
    <row r="600" spans="1:31" x14ac:dyDescent="0.2">
      <c r="A600" s="347">
        <v>302000</v>
      </c>
      <c r="B600" s="364">
        <f t="shared" si="258"/>
        <v>302</v>
      </c>
      <c r="C600" s="337">
        <f t="shared" si="239"/>
        <v>4.9588442881803987</v>
      </c>
      <c r="D600" s="338">
        <f t="shared" si="240"/>
        <v>1.36774399273234</v>
      </c>
      <c r="E600" s="338">
        <f t="shared" si="241"/>
        <v>1.0001590613978644</v>
      </c>
      <c r="F600" s="339">
        <f t="shared" si="242"/>
        <v>1.7834815219239842E-2</v>
      </c>
      <c r="G600" s="338">
        <f t="shared" si="243"/>
        <v>1</v>
      </c>
      <c r="H600" s="339">
        <f t="shared" si="244"/>
        <v>0</v>
      </c>
      <c r="I600" s="337">
        <f t="shared" si="245"/>
        <v>2185995.5070425062</v>
      </c>
      <c r="J600" s="340">
        <f t="shared" si="246"/>
        <v>1.5707958693374147</v>
      </c>
      <c r="K600" s="348">
        <f t="shared" si="262"/>
        <v>50.21838857691133</v>
      </c>
      <c r="L600" s="349">
        <f t="shared" si="263"/>
        <v>1.5508819860877217</v>
      </c>
      <c r="M600" s="337">
        <f t="shared" si="247"/>
        <v>1.0430852942129223</v>
      </c>
      <c r="N600" s="340">
        <f t="shared" si="248"/>
        <v>0.28842039655032686</v>
      </c>
      <c r="O600" s="341">
        <f t="shared" si="249"/>
        <v>1.0209155299937549</v>
      </c>
      <c r="P600" s="342">
        <f t="shared" si="250"/>
        <v>0.45449456153504486</v>
      </c>
      <c r="Q600" s="343">
        <f t="shared" si="251"/>
        <v>-14.799314850968216</v>
      </c>
      <c r="R600" s="344">
        <f t="shared" si="252"/>
        <v>-121.0509718351517</v>
      </c>
      <c r="S600" s="346">
        <f t="shared" si="253"/>
        <v>58.949028164848301</v>
      </c>
      <c r="U600" s="319">
        <f t="shared" si="259"/>
        <v>302000</v>
      </c>
      <c r="V600" s="319">
        <f t="shared" si="260"/>
        <v>91204000000</v>
      </c>
      <c r="X600" s="345">
        <f t="shared" si="254"/>
        <v>4.5650981051184409</v>
      </c>
      <c r="Y600" s="346">
        <f t="shared" si="255"/>
        <v>-17.666252931933609</v>
      </c>
      <c r="AA600" s="345">
        <f t="shared" si="256"/>
        <v>18.853554057259604</v>
      </c>
      <c r="AB600" s="346">
        <f t="shared" si="257"/>
        <v>-103.38471890321811</v>
      </c>
      <c r="AD600">
        <f t="shared" si="261"/>
        <v>0</v>
      </c>
      <c r="AE600">
        <f t="shared" si="238"/>
        <v>0</v>
      </c>
    </row>
    <row r="601" spans="1:31" x14ac:dyDescent="0.2">
      <c r="A601" s="347">
        <v>331130</v>
      </c>
      <c r="B601" s="364">
        <f t="shared" si="258"/>
        <v>331.13</v>
      </c>
      <c r="C601" s="337">
        <f t="shared" si="239"/>
        <v>5.4185314820545472</v>
      </c>
      <c r="D601" s="338">
        <f t="shared" si="240"/>
        <v>1.3851804682608904</v>
      </c>
      <c r="E601" s="338">
        <f t="shared" si="241"/>
        <v>1.0001912233771313</v>
      </c>
      <c r="F601" s="339">
        <f t="shared" si="242"/>
        <v>1.9554687935100356E-2</v>
      </c>
      <c r="G601" s="338">
        <f t="shared" si="243"/>
        <v>1</v>
      </c>
      <c r="H601" s="339">
        <f t="shared" si="244"/>
        <v>0</v>
      </c>
      <c r="I601" s="337">
        <f t="shared" si="245"/>
        <v>2396849.974327723</v>
      </c>
      <c r="J601" s="340">
        <f t="shared" si="246"/>
        <v>1.5707959095806319</v>
      </c>
      <c r="K601" s="348">
        <f t="shared" si="262"/>
        <v>55.060465061179968</v>
      </c>
      <c r="L601" s="349">
        <f t="shared" si="263"/>
        <v>1.5526334765079128</v>
      </c>
      <c r="M601" s="337">
        <f t="shared" si="247"/>
        <v>1.0515833527769698</v>
      </c>
      <c r="N601" s="340">
        <f t="shared" si="248"/>
        <v>0.31451358075000441</v>
      </c>
      <c r="O601" s="341">
        <f t="shared" si="249"/>
        <v>1.0259043141226434</v>
      </c>
      <c r="P601" s="342">
        <f t="shared" si="250"/>
        <v>0.49952986730562637</v>
      </c>
      <c r="Q601" s="343">
        <f t="shared" si="251"/>
        <v>-15.682166323565504</v>
      </c>
      <c r="R601" s="344">
        <f t="shared" si="252"/>
        <v>-125.92647842543975</v>
      </c>
      <c r="S601" s="346">
        <f t="shared" si="253"/>
        <v>54.073521574560246</v>
      </c>
      <c r="U601" s="319">
        <f t="shared" si="259"/>
        <v>331130</v>
      </c>
      <c r="V601" s="319">
        <f t="shared" si="260"/>
        <v>109647076900</v>
      </c>
      <c r="X601" s="345">
        <f t="shared" si="254"/>
        <v>4.4943308365452248</v>
      </c>
      <c r="Y601" s="346">
        <f t="shared" si="255"/>
        <v>-19.060931559058176</v>
      </c>
      <c r="AA601" s="345">
        <f t="shared" si="256"/>
        <v>18.041469853235533</v>
      </c>
      <c r="AB601" s="346">
        <f t="shared" si="257"/>
        <v>-106.86554686638158</v>
      </c>
      <c r="AD601">
        <f t="shared" si="261"/>
        <v>0</v>
      </c>
      <c r="AE601">
        <f t="shared" si="238"/>
        <v>0</v>
      </c>
    </row>
    <row r="602" spans="1:31" x14ac:dyDescent="0.2">
      <c r="A602" s="347">
        <v>363080</v>
      </c>
      <c r="B602" s="364">
        <f t="shared" si="258"/>
        <v>363.08</v>
      </c>
      <c r="C602" s="337">
        <f t="shared" si="239"/>
        <v>5.9243056036749202</v>
      </c>
      <c r="D602" s="338">
        <f t="shared" si="240"/>
        <v>1.4011881573860288</v>
      </c>
      <c r="E602" s="338">
        <f t="shared" si="241"/>
        <v>1.000229900640593</v>
      </c>
      <c r="F602" s="339">
        <f t="shared" si="242"/>
        <v>2.1440923673126177E-2</v>
      </c>
      <c r="G602" s="338">
        <f t="shared" si="243"/>
        <v>1</v>
      </c>
      <c r="H602" s="339">
        <f t="shared" si="244"/>
        <v>0</v>
      </c>
      <c r="I602" s="337">
        <f t="shared" si="245"/>
        <v>2628116.7175396276</v>
      </c>
      <c r="J602" s="340">
        <f t="shared" si="246"/>
        <v>1.570795946294292</v>
      </c>
      <c r="K602" s="348">
        <f t="shared" si="262"/>
        <v>60.371452017802838</v>
      </c>
      <c r="L602" s="349">
        <f t="shared" si="263"/>
        <v>1.5542314488506095</v>
      </c>
      <c r="M602" s="337">
        <f t="shared" si="247"/>
        <v>1.0617132014533888</v>
      </c>
      <c r="N602" s="340">
        <f t="shared" si="248"/>
        <v>0.34263116512633057</v>
      </c>
      <c r="O602" s="341">
        <f t="shared" si="249"/>
        <v>1.0322311056559024</v>
      </c>
      <c r="P602" s="342">
        <f t="shared" si="250"/>
        <v>0.54920877635243981</v>
      </c>
      <c r="Q602" s="343">
        <f t="shared" si="251"/>
        <v>-16.593860549969815</v>
      </c>
      <c r="R602" s="344">
        <f t="shared" si="252"/>
        <v>-131.10143387761107</v>
      </c>
      <c r="S602" s="346">
        <f t="shared" si="253"/>
        <v>48.898566122388928</v>
      </c>
      <c r="U602" s="319">
        <f t="shared" si="259"/>
        <v>363080</v>
      </c>
      <c r="V602" s="319">
        <f t="shared" si="260"/>
        <v>131827086400</v>
      </c>
      <c r="X602" s="345">
        <f t="shared" si="254"/>
        <v>4.4108195027341495</v>
      </c>
      <c r="Y602" s="346">
        <f t="shared" si="255"/>
        <v>-20.580395508183511</v>
      </c>
      <c r="AA602" s="345">
        <f t="shared" si="256"/>
        <v>17.213286960642296</v>
      </c>
      <c r="AB602" s="346">
        <f t="shared" si="257"/>
        <v>-110.52103836942756</v>
      </c>
      <c r="AD602">
        <f t="shared" si="261"/>
        <v>0</v>
      </c>
      <c r="AE602">
        <f t="shared" ref="AE602:AE613" si="264">IF(AD602&gt;0,S602,0)</f>
        <v>0</v>
      </c>
    </row>
    <row r="603" spans="1:31" x14ac:dyDescent="0.2">
      <c r="A603" s="347">
        <v>398110</v>
      </c>
      <c r="B603" s="364">
        <f t="shared" si="258"/>
        <v>398.11</v>
      </c>
      <c r="C603" s="337">
        <f t="shared" si="239"/>
        <v>6.4802955980357471</v>
      </c>
      <c r="D603" s="338">
        <f t="shared" si="240"/>
        <v>1.4158632800896809</v>
      </c>
      <c r="E603" s="338">
        <f t="shared" si="241"/>
        <v>1.0002763959060703</v>
      </c>
      <c r="F603" s="339">
        <f t="shared" si="242"/>
        <v>2.3508817870517798E-2</v>
      </c>
      <c r="G603" s="338">
        <f t="shared" si="243"/>
        <v>1</v>
      </c>
      <c r="H603" s="339">
        <f t="shared" si="244"/>
        <v>0</v>
      </c>
      <c r="I603" s="337">
        <f t="shared" si="245"/>
        <v>2881677.7195650782</v>
      </c>
      <c r="J603" s="340">
        <f t="shared" si="246"/>
        <v>1.5707959797748281</v>
      </c>
      <c r="K603" s="348">
        <f t="shared" si="262"/>
        <v>66.194568809068556</v>
      </c>
      <c r="L603" s="349">
        <f t="shared" si="263"/>
        <v>1.5556887725241408</v>
      </c>
      <c r="M603" s="337">
        <f t="shared" si="247"/>
        <v>1.0737646655638005</v>
      </c>
      <c r="N603" s="340">
        <f t="shared" si="248"/>
        <v>0.37282307810612048</v>
      </c>
      <c r="O603" s="341">
        <f t="shared" si="249"/>
        <v>1.0403012471652322</v>
      </c>
      <c r="P603" s="342">
        <f t="shared" si="250"/>
        <v>0.60399617809602879</v>
      </c>
      <c r="Q603" s="343">
        <f t="shared" si="251"/>
        <v>-17.538485899453779</v>
      </c>
      <c r="R603" s="344">
        <f t="shared" si="252"/>
        <v>-136.60923437064952</v>
      </c>
      <c r="S603" s="346">
        <f t="shared" si="253"/>
        <v>43.390765629350483</v>
      </c>
      <c r="U603" s="319">
        <f t="shared" si="259"/>
        <v>398110</v>
      </c>
      <c r="V603" s="319">
        <f t="shared" si="260"/>
        <v>158491572100</v>
      </c>
      <c r="X603" s="345">
        <f t="shared" si="254"/>
        <v>4.3125812076057981</v>
      </c>
      <c r="Y603" s="346">
        <f t="shared" si="255"/>
        <v>-22.22676812164854</v>
      </c>
      <c r="AA603" s="345">
        <f t="shared" si="256"/>
        <v>16.366899906286687</v>
      </c>
      <c r="AB603" s="346">
        <f t="shared" si="257"/>
        <v>-114.38246624900096</v>
      </c>
      <c r="AD603">
        <f t="shared" si="261"/>
        <v>0</v>
      </c>
      <c r="AE603">
        <f t="shared" si="264"/>
        <v>0</v>
      </c>
    </row>
    <row r="604" spans="1:31" x14ac:dyDescent="0.2">
      <c r="A604" s="347">
        <v>436520</v>
      </c>
      <c r="B604" s="364">
        <f t="shared" si="258"/>
        <v>436.52</v>
      </c>
      <c r="C604" s="337">
        <f t="shared" si="239"/>
        <v>7.0912725633845186</v>
      </c>
      <c r="D604" s="338">
        <f t="shared" si="240"/>
        <v>1.4293062949379509</v>
      </c>
      <c r="E604" s="338">
        <f t="shared" si="241"/>
        <v>1.0003322933038368</v>
      </c>
      <c r="F604" s="339">
        <f t="shared" si="242"/>
        <v>2.5776008776420965E-2</v>
      </c>
      <c r="G604" s="338">
        <f t="shared" si="243"/>
        <v>1</v>
      </c>
      <c r="H604" s="339">
        <f t="shared" si="244"/>
        <v>0</v>
      </c>
      <c r="I604" s="337">
        <f t="shared" si="245"/>
        <v>3159704.4991196785</v>
      </c>
      <c r="J604" s="340">
        <f t="shared" si="246"/>
        <v>1.570796010309605</v>
      </c>
      <c r="K604" s="348">
        <f t="shared" si="262"/>
        <v>72.579685114727894</v>
      </c>
      <c r="L604" s="349">
        <f t="shared" si="263"/>
        <v>1.5570179308178498</v>
      </c>
      <c r="M604" s="337">
        <f t="shared" si="247"/>
        <v>1.0880771838060472</v>
      </c>
      <c r="N604" s="340">
        <f t="shared" si="248"/>
        <v>0.40512674833651841</v>
      </c>
      <c r="O604" s="341">
        <f t="shared" si="249"/>
        <v>1.0506589924357126</v>
      </c>
      <c r="P604" s="342">
        <f t="shared" si="250"/>
        <v>0.66440655026996209</v>
      </c>
      <c r="Q604" s="343">
        <f t="shared" si="251"/>
        <v>-18.521819676180364</v>
      </c>
      <c r="R604" s="344">
        <f t="shared" si="252"/>
        <v>-142.48553184218773</v>
      </c>
      <c r="S604" s="346">
        <f t="shared" si="253"/>
        <v>37.514468157812274</v>
      </c>
      <c r="U604" s="319">
        <f t="shared" si="259"/>
        <v>436520</v>
      </c>
      <c r="V604" s="319">
        <f t="shared" si="260"/>
        <v>190549710400</v>
      </c>
      <c r="X604" s="345">
        <f t="shared" si="254"/>
        <v>4.1974025520647142</v>
      </c>
      <c r="Y604" s="346">
        <f t="shared" si="255"/>
        <v>-24.001478679640165</v>
      </c>
      <c r="AA604" s="345">
        <f t="shared" si="256"/>
        <v>15.498744785101186</v>
      </c>
      <c r="AB604" s="346">
        <f t="shared" si="257"/>
        <v>-118.48405316254751</v>
      </c>
      <c r="AD604">
        <f t="shared" si="261"/>
        <v>0</v>
      </c>
      <c r="AE604">
        <f t="shared" si="264"/>
        <v>0</v>
      </c>
    </row>
    <row r="605" spans="1:31" x14ac:dyDescent="0.2">
      <c r="A605" s="347">
        <v>478630</v>
      </c>
      <c r="B605" s="364">
        <f t="shared" si="258"/>
        <v>478.63</v>
      </c>
      <c r="C605" s="337">
        <f t="shared" si="239"/>
        <v>7.7623338492914122</v>
      </c>
      <c r="D605" s="338">
        <f t="shared" si="240"/>
        <v>1.4416100588373333</v>
      </c>
      <c r="E605" s="338">
        <f t="shared" si="241"/>
        <v>1.0003994832198981</v>
      </c>
      <c r="F605" s="339">
        <f t="shared" si="242"/>
        <v>2.8261290705894775E-2</v>
      </c>
      <c r="G605" s="338">
        <f t="shared" si="243"/>
        <v>1</v>
      </c>
      <c r="H605" s="339">
        <f t="shared" si="244"/>
        <v>0</v>
      </c>
      <c r="I605" s="337">
        <f t="shared" si="245"/>
        <v>3464513.3428334072</v>
      </c>
      <c r="J605" s="340">
        <f t="shared" si="246"/>
        <v>1.5707960381540687</v>
      </c>
      <c r="K605" s="348">
        <f t="shared" si="262"/>
        <v>79.579996368485652</v>
      </c>
      <c r="L605" s="349">
        <f t="shared" si="263"/>
        <v>1.5582300241462417</v>
      </c>
      <c r="M605" s="337">
        <f t="shared" si="247"/>
        <v>1.1050368765937637</v>
      </c>
      <c r="N605" s="340">
        <f t="shared" si="248"/>
        <v>0.43954076238527245</v>
      </c>
      <c r="O605" s="341">
        <f t="shared" si="249"/>
        <v>1.0640286918377087</v>
      </c>
      <c r="P605" s="342">
        <f t="shared" si="250"/>
        <v>0.7309512190183558</v>
      </c>
      <c r="Q605" s="343">
        <f t="shared" si="251"/>
        <v>-19.550910246596523</v>
      </c>
      <c r="R605" s="344">
        <f t="shared" si="252"/>
        <v>-148.76314962021596</v>
      </c>
      <c r="S605" s="346">
        <f t="shared" si="253"/>
        <v>31.236850379784045</v>
      </c>
      <c r="U605" s="319">
        <f t="shared" si="259"/>
        <v>478630</v>
      </c>
      <c r="V605" s="319">
        <f t="shared" si="260"/>
        <v>229086676900</v>
      </c>
      <c r="X605" s="345">
        <f t="shared" si="254"/>
        <v>4.0629225098771702</v>
      </c>
      <c r="Y605" s="346">
        <f t="shared" si="255"/>
        <v>-25.903810206188858</v>
      </c>
      <c r="AA605" s="345">
        <f t="shared" si="256"/>
        <v>14.604134256872568</v>
      </c>
      <c r="AB605" s="346">
        <f t="shared" si="257"/>
        <v>-122.85933941402713</v>
      </c>
      <c r="AD605">
        <f t="shared" si="261"/>
        <v>0</v>
      </c>
      <c r="AE605">
        <f t="shared" si="264"/>
        <v>0</v>
      </c>
    </row>
    <row r="606" spans="1:31" x14ac:dyDescent="0.2">
      <c r="A606" s="347">
        <v>524810</v>
      </c>
      <c r="B606" s="364">
        <f t="shared" si="258"/>
        <v>524.80999999999995</v>
      </c>
      <c r="C606" s="337">
        <f t="shared" si="239"/>
        <v>8.4993814805159733</v>
      </c>
      <c r="D606" s="338">
        <f t="shared" si="240"/>
        <v>1.4528675534479623</v>
      </c>
      <c r="E606" s="338">
        <f t="shared" si="241"/>
        <v>1.0004802699055457</v>
      </c>
      <c r="F606" s="339">
        <f t="shared" si="242"/>
        <v>3.0986376629206881E-2</v>
      </c>
      <c r="G606" s="338">
        <f t="shared" si="243"/>
        <v>1</v>
      </c>
      <c r="H606" s="339">
        <f t="shared" si="244"/>
        <v>0</v>
      </c>
      <c r="I606" s="337">
        <f t="shared" si="245"/>
        <v>3798782.4571221769</v>
      </c>
      <c r="J606" s="340">
        <f t="shared" si="246"/>
        <v>1.5707960635526574</v>
      </c>
      <c r="K606" s="348">
        <f t="shared" si="262"/>
        <v>87.257010895918029</v>
      </c>
      <c r="L606" s="349">
        <f t="shared" si="263"/>
        <v>1.559335678749046</v>
      </c>
      <c r="M606" s="337">
        <f t="shared" si="247"/>
        <v>1.1250916207242923</v>
      </c>
      <c r="N606" s="340">
        <f t="shared" si="248"/>
        <v>0.47604023063983142</v>
      </c>
      <c r="O606" s="341">
        <f t="shared" si="249"/>
        <v>1.081383096900552</v>
      </c>
      <c r="P606" s="342">
        <f t="shared" si="250"/>
        <v>0.80415019683462596</v>
      </c>
      <c r="Q606" s="343">
        <f t="shared" si="251"/>
        <v>-20.634971463829856</v>
      </c>
      <c r="R606" s="344">
        <f t="shared" si="252"/>
        <v>-155.47393072664218</v>
      </c>
      <c r="S606" s="346">
        <f t="shared" si="253"/>
        <v>24.52606927335782</v>
      </c>
      <c r="U606" s="319">
        <f t="shared" si="259"/>
        <v>524810</v>
      </c>
      <c r="V606" s="319">
        <f t="shared" si="260"/>
        <v>275425536100</v>
      </c>
      <c r="X606" s="345">
        <f t="shared" si="254"/>
        <v>3.906584752478806</v>
      </c>
      <c r="Y606" s="346">
        <f t="shared" si="255"/>
        <v>-27.931727806856092</v>
      </c>
      <c r="AA606" s="345">
        <f t="shared" si="256"/>
        <v>13.676410797037599</v>
      </c>
      <c r="AB606" s="346">
        <f t="shared" si="257"/>
        <v>-127.54220291978612</v>
      </c>
      <c r="AD606">
        <f t="shared" si="261"/>
        <v>0</v>
      </c>
      <c r="AE606">
        <f t="shared" si="264"/>
        <v>0</v>
      </c>
    </row>
    <row r="607" spans="1:31" x14ac:dyDescent="0.2">
      <c r="A607" s="347">
        <v>575440</v>
      </c>
      <c r="B607" s="364">
        <f t="shared" si="258"/>
        <v>575.44000000000005</v>
      </c>
      <c r="C607" s="337">
        <f t="shared" si="239"/>
        <v>9.3084848123911996</v>
      </c>
      <c r="D607" s="338">
        <f t="shared" si="240"/>
        <v>1.4631597379661874</v>
      </c>
      <c r="E607" s="338">
        <f t="shared" si="241"/>
        <v>1.0005773779363192</v>
      </c>
      <c r="F607" s="339">
        <f t="shared" si="242"/>
        <v>3.3973527009193982E-2</v>
      </c>
      <c r="G607" s="338">
        <f t="shared" si="243"/>
        <v>1</v>
      </c>
      <c r="H607" s="339">
        <f t="shared" si="244"/>
        <v>0</v>
      </c>
      <c r="I607" s="337">
        <f t="shared" si="245"/>
        <v>4165262.4323590877</v>
      </c>
      <c r="J607" s="340">
        <f t="shared" si="246"/>
        <v>1.5707960867139854</v>
      </c>
      <c r="K607" s="348">
        <f t="shared" si="262"/>
        <v>95.673900331804276</v>
      </c>
      <c r="L607" s="349">
        <f t="shared" si="263"/>
        <v>1.5603439651225071</v>
      </c>
      <c r="M607" s="337">
        <f t="shared" si="247"/>
        <v>1.1487368365260326</v>
      </c>
      <c r="N607" s="340">
        <f t="shared" si="248"/>
        <v>0.51453552054812324</v>
      </c>
      <c r="O607" s="341">
        <f t="shared" si="249"/>
        <v>1.1040038039094056</v>
      </c>
      <c r="P607" s="342">
        <f t="shared" si="250"/>
        <v>0.88441439082397033</v>
      </c>
      <c r="Q607" s="343">
        <f t="shared" si="251"/>
        <v>-21.784530854648668</v>
      </c>
      <c r="R607" s="344">
        <f t="shared" si="252"/>
        <v>-162.63912633794254</v>
      </c>
      <c r="S607" s="346">
        <f t="shared" si="253"/>
        <v>17.360873662057458</v>
      </c>
      <c r="U607" s="319">
        <f t="shared" si="259"/>
        <v>575440</v>
      </c>
      <c r="V607" s="319">
        <f t="shared" si="260"/>
        <v>331131193600</v>
      </c>
      <c r="X607" s="345">
        <f t="shared" si="254"/>
        <v>3.7258356415390717</v>
      </c>
      <c r="Y607" s="346">
        <f t="shared" si="255"/>
        <v>-30.079576225494502</v>
      </c>
      <c r="AA607" s="345">
        <f t="shared" si="256"/>
        <v>12.707600517158522</v>
      </c>
      <c r="AB607" s="346">
        <f t="shared" si="257"/>
        <v>-132.55955011244805</v>
      </c>
      <c r="AD607">
        <f t="shared" si="261"/>
        <v>0</v>
      </c>
      <c r="AE607">
        <f t="shared" si="264"/>
        <v>0</v>
      </c>
    </row>
    <row r="608" spans="1:31" x14ac:dyDescent="0.2">
      <c r="A608" s="347">
        <v>630960</v>
      </c>
      <c r="B608" s="364">
        <f t="shared" si="258"/>
        <v>630.96</v>
      </c>
      <c r="C608" s="337">
        <f t="shared" si="239"/>
        <v>10.196678664104558</v>
      </c>
      <c r="D608" s="338">
        <f t="shared" si="240"/>
        <v>1.4725672854978977</v>
      </c>
      <c r="E608" s="338">
        <f t="shared" si="241"/>
        <v>1.0006941261427527</v>
      </c>
      <c r="F608" s="339">
        <f t="shared" si="242"/>
        <v>3.7248486443873609E-2</v>
      </c>
      <c r="G608" s="338">
        <f t="shared" si="243"/>
        <v>1</v>
      </c>
      <c r="H608" s="339">
        <f t="shared" si="244"/>
        <v>0</v>
      </c>
      <c r="I608" s="337">
        <f t="shared" si="245"/>
        <v>4567138.1626603603</v>
      </c>
      <c r="J608" s="340">
        <f t="shared" si="246"/>
        <v>1.570796107839401</v>
      </c>
      <c r="K608" s="348">
        <f t="shared" si="262"/>
        <v>104.90381165298349</v>
      </c>
      <c r="L608" s="349">
        <f t="shared" si="263"/>
        <v>1.5612636403295044</v>
      </c>
      <c r="M608" s="337">
        <f t="shared" si="247"/>
        <v>1.1765383287890063</v>
      </c>
      <c r="N608" s="340">
        <f t="shared" si="248"/>
        <v>0.55490392909403685</v>
      </c>
      <c r="O608" s="341">
        <f t="shared" si="249"/>
        <v>1.1335891915671361</v>
      </c>
      <c r="P608" s="342">
        <f t="shared" si="250"/>
        <v>0.97204696173062</v>
      </c>
      <c r="Q608" s="343">
        <f t="shared" si="251"/>
        <v>-23.012605213341022</v>
      </c>
      <c r="R608" s="344">
        <f t="shared" si="252"/>
        <v>-170.27172136080213</v>
      </c>
      <c r="S608" s="346">
        <f t="shared" si="253"/>
        <v>9.7282786391978675</v>
      </c>
      <c r="U608" s="319">
        <f t="shared" si="259"/>
        <v>630960</v>
      </c>
      <c r="V608" s="319">
        <f t="shared" si="260"/>
        <v>398110521600</v>
      </c>
      <c r="X608" s="345">
        <f t="shared" si="254"/>
        <v>3.5180451724777133</v>
      </c>
      <c r="Y608" s="346">
        <f t="shared" si="255"/>
        <v>-32.339823365931288</v>
      </c>
      <c r="AA608" s="345">
        <f t="shared" si="256"/>
        <v>11.687316627527524</v>
      </c>
      <c r="AB608" s="346">
        <f t="shared" si="257"/>
        <v>-137.93189799487081</v>
      </c>
      <c r="AD608">
        <f t="shared" si="261"/>
        <v>0</v>
      </c>
      <c r="AE608">
        <f t="shared" si="264"/>
        <v>0</v>
      </c>
    </row>
    <row r="609" spans="1:31" x14ac:dyDescent="0.2">
      <c r="A609" s="347">
        <v>691830</v>
      </c>
      <c r="B609" s="364">
        <f t="shared" si="258"/>
        <v>691.83</v>
      </c>
      <c r="C609" s="337">
        <f t="shared" si="239"/>
        <v>11.171324510798648</v>
      </c>
      <c r="D609" s="338">
        <f t="shared" si="240"/>
        <v>1.4811614474330732</v>
      </c>
      <c r="E609" s="338">
        <f t="shared" si="241"/>
        <v>1.0008344552788659</v>
      </c>
      <c r="F609" s="339">
        <f t="shared" si="242"/>
        <v>4.083810545905877E-2</v>
      </c>
      <c r="G609" s="338">
        <f t="shared" si="243"/>
        <v>1</v>
      </c>
      <c r="H609" s="339">
        <f t="shared" si="244"/>
        <v>0</v>
      </c>
      <c r="I609" s="337">
        <f t="shared" si="245"/>
        <v>5007739.3100565867</v>
      </c>
      <c r="J609" s="340">
        <f t="shared" si="246"/>
        <v>1.5707961271039905</v>
      </c>
      <c r="K609" s="348">
        <f t="shared" si="262"/>
        <v>115.02321746879947</v>
      </c>
      <c r="L609" s="349">
        <f t="shared" si="263"/>
        <v>1.5621023203174034</v>
      </c>
      <c r="M609" s="337">
        <f t="shared" si="247"/>
        <v>1.2091136562321503</v>
      </c>
      <c r="N609" s="340">
        <f t="shared" si="248"/>
        <v>0.59695324386505888</v>
      </c>
      <c r="O609" s="341">
        <f t="shared" si="249"/>
        <v>1.172338050932709</v>
      </c>
      <c r="P609" s="342">
        <f t="shared" si="250"/>
        <v>1.0670787728159266</v>
      </c>
      <c r="Q609" s="343">
        <f t="shared" si="251"/>
        <v>-24.333536560529975</v>
      </c>
      <c r="R609" s="344">
        <f t="shared" si="252"/>
        <v>-178.36457880033731</v>
      </c>
      <c r="S609" s="346">
        <f t="shared" si="253"/>
        <v>1.6354211996626873</v>
      </c>
      <c r="U609" s="319">
        <f t="shared" si="259"/>
        <v>691830</v>
      </c>
      <c r="V609" s="319">
        <f t="shared" si="260"/>
        <v>478628748900</v>
      </c>
      <c r="X609" s="345">
        <f t="shared" si="254"/>
        <v>3.2807578570761247</v>
      </c>
      <c r="Y609" s="346">
        <f t="shared" si="255"/>
        <v>-34.701019916537007</v>
      </c>
      <c r="AA609" s="345">
        <f t="shared" si="256"/>
        <v>10.603672595740161</v>
      </c>
      <c r="AB609" s="346">
        <f t="shared" si="257"/>
        <v>-143.66355888380033</v>
      </c>
      <c r="AD609">
        <f t="shared" si="261"/>
        <v>0</v>
      </c>
      <c r="AE609">
        <f t="shared" si="264"/>
        <v>0</v>
      </c>
    </row>
    <row r="610" spans="1:31" s="627" customFormat="1" x14ac:dyDescent="0.2">
      <c r="A610" s="629">
        <v>758580</v>
      </c>
      <c r="B610" s="630">
        <f t="shared" si="258"/>
        <v>758.58</v>
      </c>
      <c r="C610" s="621">
        <f t="shared" si="239"/>
        <v>12.240910609136765</v>
      </c>
      <c r="D610" s="618">
        <f t="shared" si="240"/>
        <v>1.4890119167851175</v>
      </c>
      <c r="E610" s="618">
        <f t="shared" si="241"/>
        <v>1.0010031605501968</v>
      </c>
      <c r="F610" s="619">
        <f t="shared" si="242"/>
        <v>4.4773265643780022E-2</v>
      </c>
      <c r="G610" s="618">
        <f t="shared" si="243"/>
        <v>1</v>
      </c>
      <c r="H610" s="619">
        <f t="shared" si="244"/>
        <v>0</v>
      </c>
      <c r="I610" s="621">
        <f t="shared" si="245"/>
        <v>5490902.2242786707</v>
      </c>
      <c r="J610" s="622">
        <f t="shared" si="246"/>
        <v>1.5707961446754635</v>
      </c>
      <c r="K610" s="616">
        <f t="shared" si="262"/>
        <v>126.1202282643771</v>
      </c>
      <c r="L610" s="617">
        <f t="shared" si="263"/>
        <v>1.5628673015141865</v>
      </c>
      <c r="M610" s="621">
        <f t="shared" si="247"/>
        <v>1.2471560363465077</v>
      </c>
      <c r="N610" s="622">
        <f t="shared" si="248"/>
        <v>0.64045443710641592</v>
      </c>
      <c r="O610" s="631">
        <f t="shared" si="249"/>
        <v>1.2230853142037255</v>
      </c>
      <c r="P610" s="623">
        <f t="shared" si="250"/>
        <v>1.169230104493433</v>
      </c>
      <c r="Q610" s="624">
        <f t="shared" si="251"/>
        <v>-25.763460096341284</v>
      </c>
      <c r="R610" s="625">
        <f t="shared" si="252"/>
        <v>-186.89035526691958</v>
      </c>
      <c r="S610" s="626">
        <f t="shared" si="253"/>
        <v>-6.8903552669195847</v>
      </c>
      <c r="U610" s="627">
        <f t="shared" si="259"/>
        <v>758580</v>
      </c>
      <c r="V610" s="627">
        <f t="shared" si="260"/>
        <v>575443616400</v>
      </c>
      <c r="X610" s="628">
        <f t="shared" si="254"/>
        <v>3.0116292939275713</v>
      </c>
      <c r="Y610" s="626">
        <f t="shared" si="255"/>
        <v>-37.149625508636419</v>
      </c>
      <c r="AA610" s="628">
        <f t="shared" si="256"/>
        <v>9.4428776230774059</v>
      </c>
      <c r="AB610" s="626">
        <f t="shared" si="257"/>
        <v>-149.74072975828315</v>
      </c>
      <c r="AD610" s="2">
        <f t="shared" si="261"/>
        <v>0</v>
      </c>
      <c r="AE610" s="2">
        <f t="shared" si="264"/>
        <v>0</v>
      </c>
    </row>
    <row r="611" spans="1:31" x14ac:dyDescent="0.2">
      <c r="A611" s="347">
        <v>831760</v>
      </c>
      <c r="B611" s="364">
        <f t="shared" si="258"/>
        <v>831.76</v>
      </c>
      <c r="C611" s="337">
        <f t="shared" si="239"/>
        <v>13.414251472663253</v>
      </c>
      <c r="D611" s="338">
        <f t="shared" si="240"/>
        <v>1.4961795246813498</v>
      </c>
      <c r="E611" s="338">
        <f t="shared" si="241"/>
        <v>1.0012059234077053</v>
      </c>
      <c r="F611" s="339">
        <f t="shared" si="242"/>
        <v>4.9085899756038415E-2</v>
      </c>
      <c r="G611" s="338">
        <f t="shared" si="243"/>
        <v>1</v>
      </c>
      <c r="H611" s="339">
        <f t="shared" si="244"/>
        <v>0</v>
      </c>
      <c r="I611" s="337">
        <f t="shared" si="245"/>
        <v>6020608.0229718871</v>
      </c>
      <c r="J611" s="340">
        <f t="shared" si="246"/>
        <v>1.5707961606987155</v>
      </c>
      <c r="K611" s="348">
        <f t="shared" si="262"/>
        <v>138.28628008264246</v>
      </c>
      <c r="L611" s="349">
        <f t="shared" si="263"/>
        <v>1.563564888397158</v>
      </c>
      <c r="M611" s="337">
        <f t="shared" si="247"/>
        <v>1.2914043339493244</v>
      </c>
      <c r="N611" s="340">
        <f t="shared" si="248"/>
        <v>0.68510783835766065</v>
      </c>
      <c r="O611" s="341">
        <f t="shared" si="249"/>
        <v>1.289371616161288</v>
      </c>
      <c r="P611" s="342">
        <f t="shared" si="250"/>
        <v>1.2777226152418386</v>
      </c>
      <c r="Q611" s="343">
        <f t="shared" si="251"/>
        <v>-27.318057148126439</v>
      </c>
      <c r="R611" s="344">
        <f t="shared" si="252"/>
        <v>-195.78857976661811</v>
      </c>
      <c r="S611" s="346">
        <f t="shared" si="253"/>
        <v>-15.788579766618113</v>
      </c>
      <c r="U611" s="319">
        <f t="shared" si="259"/>
        <v>831760</v>
      </c>
      <c r="V611" s="319">
        <f t="shared" si="260"/>
        <v>691824697600</v>
      </c>
      <c r="X611" s="345">
        <f t="shared" si="254"/>
        <v>2.7087544335513662</v>
      </c>
      <c r="Y611" s="346">
        <f t="shared" si="255"/>
        <v>-39.668109077941494</v>
      </c>
      <c r="AA611" s="345">
        <f t="shared" si="256"/>
        <v>8.1911554316684576</v>
      </c>
      <c r="AB611" s="346">
        <f t="shared" si="257"/>
        <v>-156.12047068867662</v>
      </c>
      <c r="AD611">
        <f t="shared" si="261"/>
        <v>0</v>
      </c>
      <c r="AE611">
        <f t="shared" si="264"/>
        <v>0</v>
      </c>
    </row>
    <row r="612" spans="1:31" x14ac:dyDescent="0.2">
      <c r="A612" s="347">
        <v>912010</v>
      </c>
      <c r="B612" s="364">
        <f t="shared" si="258"/>
        <v>912.01</v>
      </c>
      <c r="C612" s="337">
        <f t="shared" si="239"/>
        <v>14.701609730779717</v>
      </c>
      <c r="D612" s="338">
        <f t="shared" si="240"/>
        <v>1.5027240039058853</v>
      </c>
      <c r="E612" s="338">
        <f t="shared" si="241"/>
        <v>1.0014496727301805</v>
      </c>
      <c r="F612" s="339">
        <f t="shared" si="242"/>
        <v>5.381307650326133E-2</v>
      </c>
      <c r="G612" s="338">
        <f t="shared" si="243"/>
        <v>1</v>
      </c>
      <c r="H612" s="339">
        <f t="shared" si="244"/>
        <v>0</v>
      </c>
      <c r="I612" s="337">
        <f t="shared" si="245"/>
        <v>6601489.279396194</v>
      </c>
      <c r="J612" s="340">
        <f t="shared" si="246"/>
        <v>1.5707961753139266</v>
      </c>
      <c r="K612" s="348">
        <f t="shared" si="262"/>
        <v>151.62777184629519</v>
      </c>
      <c r="L612" s="349">
        <f t="shared" si="263"/>
        <v>1.5642011810825729</v>
      </c>
      <c r="M612" s="337">
        <f t="shared" si="247"/>
        <v>1.342679413051443</v>
      </c>
      <c r="N612" s="340">
        <f t="shared" si="248"/>
        <v>0.73059209121407531</v>
      </c>
      <c r="O612" s="341">
        <f t="shared" si="249"/>
        <v>1.3755868401103302</v>
      </c>
      <c r="P612" s="342">
        <f t="shared" si="250"/>
        <v>1.3913161895963169</v>
      </c>
      <c r="Q612" s="343">
        <f t="shared" si="251"/>
        <v>-29.012349853261249</v>
      </c>
      <c r="R612" s="344">
        <f t="shared" si="252"/>
        <v>-204.97073560443505</v>
      </c>
      <c r="S612" s="346">
        <f t="shared" si="253"/>
        <v>-24.970735604435049</v>
      </c>
      <c r="U612" s="319">
        <f t="shared" si="259"/>
        <v>912010</v>
      </c>
      <c r="V612" s="319">
        <f t="shared" si="260"/>
        <v>831762240100</v>
      </c>
      <c r="X612" s="345">
        <f t="shared" si="254"/>
        <v>2.370514415137269</v>
      </c>
      <c r="Y612" s="346">
        <f t="shared" si="255"/>
        <v>-42.237708755836678</v>
      </c>
      <c r="AA612" s="345">
        <f t="shared" si="256"/>
        <v>6.8351027449477444</v>
      </c>
      <c r="AB612" s="346">
        <f t="shared" si="257"/>
        <v>-162.73302684859837</v>
      </c>
      <c r="AD612">
        <f t="shared" si="261"/>
        <v>0</v>
      </c>
      <c r="AE612">
        <f t="shared" si="264"/>
        <v>0</v>
      </c>
    </row>
    <row r="613" spans="1:31" x14ac:dyDescent="0.2">
      <c r="A613" s="347">
        <v>1000000</v>
      </c>
      <c r="B613" s="364">
        <f t="shared" si="258"/>
        <v>1000</v>
      </c>
      <c r="C613" s="337">
        <f t="shared" si="239"/>
        <v>16.113734356744665</v>
      </c>
      <c r="D613" s="338">
        <f t="shared" si="240"/>
        <v>1.5086975620674214</v>
      </c>
      <c r="E613" s="338">
        <f t="shared" si="241"/>
        <v>1.0017426380920147</v>
      </c>
      <c r="F613" s="339">
        <f t="shared" si="242"/>
        <v>5.8993409687243287E-2</v>
      </c>
      <c r="G613" s="338">
        <f t="shared" si="243"/>
        <v>1</v>
      </c>
      <c r="H613" s="339">
        <f t="shared" si="244"/>
        <v>0</v>
      </c>
      <c r="I613" s="337">
        <f t="shared" si="245"/>
        <v>7238395.7186831078</v>
      </c>
      <c r="J613" s="340">
        <f t="shared" si="246"/>
        <v>1.5707961886427371</v>
      </c>
      <c r="K613" s="348">
        <f t="shared" si="262"/>
        <v>166.25609047382335</v>
      </c>
      <c r="L613" s="349">
        <f t="shared" si="263"/>
        <v>1.5647814732823471</v>
      </c>
      <c r="M613" s="337">
        <f t="shared" si="247"/>
        <v>1.4018435165813361</v>
      </c>
      <c r="N613" s="340">
        <f t="shared" si="248"/>
        <v>0.77653463916332777</v>
      </c>
      <c r="O613" s="341">
        <f t="shared" si="249"/>
        <v>1.4869831871200676</v>
      </c>
      <c r="P613" s="342">
        <f t="shared" si="250"/>
        <v>1.508232606356412</v>
      </c>
      <c r="Q613" s="343">
        <f t="shared" si="251"/>
        <v>-30.857372285475687</v>
      </c>
      <c r="R613" s="344">
        <f t="shared" si="252"/>
        <v>-214.31406786199835</v>
      </c>
      <c r="S613" s="346">
        <f t="shared" si="253"/>
        <v>-34.314067861998353</v>
      </c>
      <c r="U613" s="319">
        <f t="shared" si="259"/>
        <v>1000000</v>
      </c>
      <c r="V613" s="319">
        <f t="shared" si="260"/>
        <v>1000000000000</v>
      </c>
      <c r="X613" s="345">
        <f t="shared" si="254"/>
        <v>1.9959384882344577</v>
      </c>
      <c r="Y613" s="346">
        <f t="shared" si="255"/>
        <v>-44.836775326129313</v>
      </c>
      <c r="AA613" s="345">
        <f t="shared" si="256"/>
        <v>5.364656239636119</v>
      </c>
      <c r="AB613" s="346">
        <f t="shared" si="257"/>
        <v>-169.47729253586908</v>
      </c>
      <c r="AD613">
        <f t="shared" si="261"/>
        <v>0</v>
      </c>
      <c r="AE613">
        <f t="shared" si="264"/>
        <v>0</v>
      </c>
    </row>
    <row r="614" spans="1:31" x14ac:dyDescent="0.2">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
      <c r="A616" s="319" t="s">
        <v>362</v>
      </c>
      <c r="G616" s="338"/>
      <c r="H616" s="339"/>
      <c r="Q616" s="343"/>
      <c r="R616" s="344"/>
      <c r="S616" s="353"/>
      <c r="AA616" s="345"/>
      <c r="AB616" s="346"/>
    </row>
    <row r="617" spans="1:31" x14ac:dyDescent="0.2">
      <c r="A617" s="354">
        <f>Q4*1000</f>
        <v>15400</v>
      </c>
      <c r="B617" s="354"/>
      <c r="C617" s="355">
        <f t="shared" ref="C617:C626" si="265">SQRT(1+(A617/pole1)^2)</f>
        <v>1.0302145463278822</v>
      </c>
      <c r="D617" s="348">
        <f t="shared" ref="D617:D626" si="266">ATAN(A617/pole1)</f>
        <v>0.24278753279976209</v>
      </c>
      <c r="E617" s="348">
        <f t="shared" ref="E617:E626" si="267">SQRT(1+(A617/Zero1)^2)</f>
        <v>1.0000004136440666</v>
      </c>
      <c r="F617" s="349">
        <f t="shared" ref="F617:F626" si="268">ATAN(A617/Zero1)</f>
        <v>9.0955365320702223E-4</v>
      </c>
      <c r="G617" s="338">
        <f>IF(VIN_nom&gt;Vout, 1, SQRT(1+(A617/z_RHP)^2))</f>
        <v>1</v>
      </c>
      <c r="H617" s="339">
        <f>IF(VIN_nom&gt;Vout, 0, -ATAN(A617/z_RHP))</f>
        <v>0</v>
      </c>
      <c r="I617" s="355">
        <f t="shared" ref="I617:I626" si="269">SQRT(1+(A617/Pole2)^2)</f>
        <v>111471.29407220427</v>
      </c>
      <c r="J617" s="356">
        <f t="shared" ref="J617:J626" si="270">ATAN(A617/Pole2)</f>
        <v>1.5707873558754475</v>
      </c>
      <c r="K617" s="348">
        <f t="shared" ref="K617:K626" si="271">SQRT(1+(A617/Zero2)^2)</f>
        <v>2.7486584327402075</v>
      </c>
      <c r="L617" s="349">
        <f t="shared" ref="L617:L626" si="272">ATAN(A617/Zero2)</f>
        <v>1.1984372585332801</v>
      </c>
      <c r="M617" s="355">
        <f t="shared" ref="M617:M626" si="273">SQRT(1+(A617/pole4)^2)</f>
        <v>1.0001144427461788</v>
      </c>
      <c r="N617" s="356">
        <f t="shared" ref="N617:N626" si="274">ATAN(A617/pole4)</f>
        <v>1.5128240674937524E-2</v>
      </c>
      <c r="O617" s="355">
        <f>SQRT((1-(A617^2/(pole3^2)))^2+(A617/(Q_Ch2*pole3))^2)</f>
        <v>1.0000460805061027</v>
      </c>
      <c r="P617" s="420">
        <f>ATAN((A617/(Q_Ch2*pole3))/(1-A617^2/pole3^2))</f>
        <v>2.2855675524800497E-2</v>
      </c>
      <c r="Q617" s="343">
        <f>20*LOG10(((E617*K617*G617)/(C617*I617*O617*M617))*Adc)</f>
        <v>8.0460515241383458E-3</v>
      </c>
      <c r="R617" s="344">
        <f>((F617+L617+H617)-(D617+J617+P617+N617))*radconv</f>
        <v>-37.36899457156639</v>
      </c>
      <c r="S617" s="346">
        <f t="shared" ref="S617:S626" si="275">IF(R617&gt;0,R617,R617+180)</f>
        <v>142.63100542843361</v>
      </c>
      <c r="T617" s="319" t="s">
        <v>363</v>
      </c>
      <c r="X617" s="345">
        <f t="shared" ref="X617:X626" si="276">20*LOG10((K617/(I617*M617))*AEA)</f>
        <v>5.5453850580050377</v>
      </c>
      <c r="Y617" s="346">
        <f t="shared" ref="Y617:Y626" si="277">(L617-(J617+N617))*radconv</f>
        <v>-22.200873446491826</v>
      </c>
      <c r="AA617" s="345">
        <f>20*LOG10((E617*G617/(C617*O617))*Acs*Am)</f>
        <v>32.680628006865362</v>
      </c>
      <c r="AB617" s="346">
        <f>(F617+H617-(D617+P617))*radconv</f>
        <v>-15.168121125074569</v>
      </c>
    </row>
    <row r="618" spans="1:31" x14ac:dyDescent="0.2">
      <c r="A618" s="354">
        <f>A617</f>
        <v>15400</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
      <c r="A619" s="319">
        <f>A618</f>
        <v>15400</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
      <c r="A620" s="354">
        <v>1000000</v>
      </c>
      <c r="B620" s="354"/>
      <c r="C620" s="355"/>
      <c r="D620" s="348"/>
      <c r="E620" s="348"/>
      <c r="F620" s="349"/>
      <c r="G620" s="338"/>
      <c r="H620" s="339"/>
      <c r="I620" s="355"/>
      <c r="J620" s="356"/>
      <c r="K620" s="348"/>
      <c r="L620" s="349"/>
      <c r="M620" s="337"/>
      <c r="N620" s="340"/>
      <c r="O620" s="355"/>
      <c r="P620" s="342"/>
      <c r="Q620" s="343"/>
      <c r="R620" s="344">
        <f>R617</f>
        <v>-37.36899457156639</v>
      </c>
      <c r="S620" s="346"/>
      <c r="X620" s="345"/>
      <c r="Y620" s="346"/>
      <c r="AA620" s="345"/>
      <c r="AB620" s="346"/>
    </row>
    <row r="621" spans="1:31" x14ac:dyDescent="0.2">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
      <c r="A622" s="429">
        <f>pole1</f>
        <v>62178.710970407672</v>
      </c>
      <c r="B622" s="354"/>
      <c r="C622" s="355">
        <f t="shared" si="265"/>
        <v>1.4142135623730951</v>
      </c>
      <c r="D622" s="348">
        <f t="shared" si="266"/>
        <v>0.78539816339744828</v>
      </c>
      <c r="E622" s="348">
        <f t="shared" si="267"/>
        <v>1.0000067432212874</v>
      </c>
      <c r="F622" s="349">
        <f t="shared" si="268"/>
        <v>3.6723789006714723E-3</v>
      </c>
      <c r="G622" s="338">
        <f t="shared" ref="G622:G628" si="278">IF(VIN_nom&gt;Vout, 1, SQRT(1+(A622/z_RHP)^2))</f>
        <v>1</v>
      </c>
      <c r="H622" s="339">
        <f t="shared" ref="H622:H628" si="279">IF(VIN_nom&gt;Vout, 0, -ATAN(A622/z_RHP))</f>
        <v>0</v>
      </c>
      <c r="I622" s="355">
        <f t="shared" si="269"/>
        <v>450074.11528253992</v>
      </c>
      <c r="J622" s="356">
        <f t="shared" si="270"/>
        <v>1.5707941049386156</v>
      </c>
      <c r="K622" s="348">
        <f t="shared" si="271"/>
        <v>10.385657819390318</v>
      </c>
      <c r="L622" s="349">
        <f t="shared" si="272"/>
        <v>1.474360291098828</v>
      </c>
      <c r="M622" s="337">
        <f t="shared" si="273"/>
        <v>1.001864019836701</v>
      </c>
      <c r="N622" s="340">
        <f t="shared" si="274"/>
        <v>6.1010309946930706E-2</v>
      </c>
      <c r="O622" s="355">
        <f t="shared" ref="O622:O628" si="280">SQRT((1-(A622^2/(pole3^2)))^2+(A622/(Q_Ch2*pole3))^2)</f>
        <v>1.0007567087922642</v>
      </c>
      <c r="P622" s="342">
        <f t="shared" ref="P622:P628" si="281">ATAN((A622/(Q_Ch2*pole3))/(1-A622^2/pole3^2))</f>
        <v>9.2339196577524887E-2</v>
      </c>
      <c r="Q622" s="343">
        <f t="shared" ref="Q622:Q628" si="282">20*LOG10(((E622*K622*G622)/(C622*I622*O622*M622))*Adc)</f>
        <v>-3.3411521296136959</v>
      </c>
      <c r="R622" s="344">
        <f t="shared" ref="R622:R628" si="283">((F622+L622+H622)-(D622+J622+P622+N622))*radconv</f>
        <v>-59.101118305386777</v>
      </c>
      <c r="S622" s="346">
        <f t="shared" si="275"/>
        <v>120.89888169461322</v>
      </c>
      <c r="T622" s="319" t="s">
        <v>337</v>
      </c>
      <c r="X622" s="345">
        <f t="shared" si="276"/>
        <v>4.9540482642547934</v>
      </c>
      <c r="Y622" s="346">
        <f t="shared" si="277"/>
        <v>-9.0208838124221167</v>
      </c>
      <c r="AA622" s="345">
        <f t="shared" ref="AA622:AA628" si="284">20*LOG10((E622*G622/(C622*O622))*Acs*Am)</f>
        <v>29.922766619477773</v>
      </c>
      <c r="AB622" s="346">
        <f t="shared" ref="AB622:AB628" si="285">(F622+H622-(D622+P622))*radconv</f>
        <v>-50.080234492964671</v>
      </c>
    </row>
    <row r="623" spans="1:31" s="627" customFormat="1" x14ac:dyDescent="0.2">
      <c r="A623" s="613">
        <f>Zero1</f>
        <v>16931376.944016635</v>
      </c>
      <c r="B623" s="614"/>
      <c r="C623" s="615">
        <f t="shared" si="265"/>
        <v>272.30366876045673</v>
      </c>
      <c r="D623" s="616">
        <f t="shared" si="266"/>
        <v>1.5671239478942252</v>
      </c>
      <c r="E623" s="616">
        <f t="shared" si="267"/>
        <v>1.4142135623730951</v>
      </c>
      <c r="F623" s="617">
        <f t="shared" si="268"/>
        <v>0.78539816339744828</v>
      </c>
      <c r="G623" s="618">
        <f t="shared" si="278"/>
        <v>1</v>
      </c>
      <c r="H623" s="619">
        <f t="shared" si="279"/>
        <v>0</v>
      </c>
      <c r="I623" s="615">
        <f t="shared" si="269"/>
        <v>122556006.38297874</v>
      </c>
      <c r="J623" s="620">
        <f t="shared" si="270"/>
        <v>1.5707963186353617</v>
      </c>
      <c r="K623" s="616">
        <f t="shared" si="271"/>
        <v>2814.8937946478773</v>
      </c>
      <c r="L623" s="617">
        <f t="shared" si="272"/>
        <v>1.5704410735974454</v>
      </c>
      <c r="M623" s="621">
        <f t="shared" si="273"/>
        <v>16.663894888903961</v>
      </c>
      <c r="N623" s="622">
        <f t="shared" si="274"/>
        <v>1.5107502702741611</v>
      </c>
      <c r="O623" s="615">
        <f t="shared" si="280"/>
        <v>260.23547187774699</v>
      </c>
      <c r="P623" s="623">
        <f t="shared" si="281"/>
        <v>-9.670712603761418E-2</v>
      </c>
      <c r="Q623" s="624">
        <f>20*LOG10(((E623*K623*G623)/(C623*I623*O623*M623))*Adc)</f>
        <v>-118.78224626080625</v>
      </c>
      <c r="R623" s="625">
        <f t="shared" si="283"/>
        <v>-125.8286465875273</v>
      </c>
      <c r="S623" s="626">
        <f t="shared" si="275"/>
        <v>54.171353412472698</v>
      </c>
      <c r="T623" s="627" t="s">
        <v>332</v>
      </c>
      <c r="X623" s="628">
        <f t="shared" si="276"/>
        <v>-19.505757688571979</v>
      </c>
      <c r="Y623" s="626">
        <f t="shared" si="277"/>
        <v>-86.579968525255467</v>
      </c>
      <c r="AA623" s="628">
        <f t="shared" si="284"/>
        <v>-61.058521558888003</v>
      </c>
      <c r="AB623" s="626">
        <f t="shared" si="285"/>
        <v>-39.248678062271779</v>
      </c>
      <c r="AD623" s="2"/>
      <c r="AE623" s="2"/>
    </row>
    <row r="624" spans="1:31" x14ac:dyDescent="0.2">
      <c r="A624" s="429">
        <f>Pole2</f>
        <v>0.13815215952049953</v>
      </c>
      <c r="B624" s="354"/>
      <c r="C624" s="355">
        <f t="shared" si="265"/>
        <v>1.0000000000024682</v>
      </c>
      <c r="D624" s="348">
        <f t="shared" si="266"/>
        <v>2.2218562810995242E-6</v>
      </c>
      <c r="E624" s="348">
        <f t="shared" si="267"/>
        <v>1</v>
      </c>
      <c r="F624" s="349">
        <f t="shared" si="268"/>
        <v>8.1595348079071027E-9</v>
      </c>
      <c r="G624" s="338">
        <f t="shared" si="278"/>
        <v>1</v>
      </c>
      <c r="H624" s="339">
        <f t="shared" si="279"/>
        <v>0</v>
      </c>
      <c r="I624" s="355">
        <f t="shared" si="269"/>
        <v>1.4142135623730951</v>
      </c>
      <c r="J624" s="356">
        <f t="shared" si="270"/>
        <v>0.78539816339744828</v>
      </c>
      <c r="K624" s="348">
        <f t="shared" si="271"/>
        <v>1.0000000002637697</v>
      </c>
      <c r="L624" s="349">
        <f t="shared" si="272"/>
        <v>2.2968222444601754E-5</v>
      </c>
      <c r="M624" s="337">
        <f t="shared" si="273"/>
        <v>1.0000000000000093</v>
      </c>
      <c r="N624" s="340">
        <f t="shared" si="274"/>
        <v>1.3572458280558582E-7</v>
      </c>
      <c r="O624" s="355">
        <f t="shared" si="280"/>
        <v>1.0000000000000036</v>
      </c>
      <c r="P624" s="342">
        <f t="shared" si="281"/>
        <v>2.0502802070050347E-7</v>
      </c>
      <c r="Q624" s="343">
        <f t="shared" si="282"/>
        <v>89.418535641858625</v>
      </c>
      <c r="R624" s="344">
        <f t="shared" si="283"/>
        <v>-44.99883042837638</v>
      </c>
      <c r="S624" s="346">
        <f t="shared" si="275"/>
        <v>135.00116957162362</v>
      </c>
      <c r="T624" s="319" t="s">
        <v>340</v>
      </c>
      <c r="W624" s="319">
        <f>Pole2</f>
        <v>0.13815215952049953</v>
      </c>
      <c r="X624" s="345">
        <f t="shared" si="276"/>
        <v>94.696924446281429</v>
      </c>
      <c r="Y624" s="346">
        <f t="shared" si="277"/>
        <v>-44.998691845655273</v>
      </c>
      <c r="AA624" s="345">
        <f t="shared" si="284"/>
        <v>32.939578208923457</v>
      </c>
      <c r="AB624" s="346">
        <f t="shared" si="285"/>
        <v>-1.3858272111076582E-4</v>
      </c>
    </row>
    <row r="625" spans="1:28" x14ac:dyDescent="0.2">
      <c r="A625" s="429">
        <f>Zero2</f>
        <v>6014.9260496506558</v>
      </c>
      <c r="B625" s="354"/>
      <c r="C625" s="355">
        <f t="shared" si="265"/>
        <v>1.00466804129052</v>
      </c>
      <c r="D625" s="348">
        <f t="shared" si="266"/>
        <v>9.6436035696068623E-2</v>
      </c>
      <c r="E625" s="348">
        <f t="shared" si="267"/>
        <v>1.0000000631024206</v>
      </c>
      <c r="F625" s="349">
        <f t="shared" si="268"/>
        <v>3.5525319745117844E-4</v>
      </c>
      <c r="G625" s="338">
        <f t="shared" si="278"/>
        <v>1</v>
      </c>
      <c r="H625" s="339">
        <f t="shared" si="279"/>
        <v>0</v>
      </c>
      <c r="I625" s="355">
        <f t="shared" si="269"/>
        <v>43538.4149774705</v>
      </c>
      <c r="J625" s="356">
        <f t="shared" si="270"/>
        <v>1.5707733585724519</v>
      </c>
      <c r="K625" s="348">
        <f t="shared" si="271"/>
        <v>1.4142135623730951</v>
      </c>
      <c r="L625" s="349">
        <f t="shared" si="272"/>
        <v>0.78539816339744828</v>
      </c>
      <c r="M625" s="337">
        <f t="shared" si="273"/>
        <v>1.0000174593661344</v>
      </c>
      <c r="N625" s="340">
        <f t="shared" si="274"/>
        <v>5.9091644271381874E-3</v>
      </c>
      <c r="O625" s="355">
        <f t="shared" si="280"/>
        <v>1.0000070268395924</v>
      </c>
      <c r="P625" s="342">
        <f t="shared" si="281"/>
        <v>8.9266508726352639E-3</v>
      </c>
      <c r="Q625" s="343">
        <f t="shared" si="282"/>
        <v>2.6210193797437049</v>
      </c>
      <c r="R625" s="344">
        <f t="shared" si="283"/>
        <v>-51.35373700826905</v>
      </c>
      <c r="S625" s="346">
        <f t="shared" si="275"/>
        <v>128.64626299173096</v>
      </c>
      <c r="T625" s="319" t="s">
        <v>335</v>
      </c>
      <c r="W625" s="319">
        <f>Zero2</f>
        <v>6014.9260496506558</v>
      </c>
      <c r="X625" s="345">
        <f t="shared" si="276"/>
        <v>7.9399204197247268</v>
      </c>
      <c r="Y625" s="346">
        <f t="shared" si="277"/>
        <v>-45.337254251720232</v>
      </c>
      <c r="AA625" s="345">
        <f t="shared" si="284"/>
        <v>32.899065973365239</v>
      </c>
      <c r="AB625" s="346">
        <f t="shared" si="285"/>
        <v>-6.016482756548811</v>
      </c>
    </row>
    <row r="626" spans="1:28" x14ac:dyDescent="0.2">
      <c r="A626" s="429">
        <f>pole3</f>
        <v>1050000</v>
      </c>
      <c r="B626" s="354"/>
      <c r="C626" s="355">
        <f t="shared" si="265"/>
        <v>16.91639173993692</v>
      </c>
      <c r="D626" s="348">
        <f t="shared" si="266"/>
        <v>1.511647582243796</v>
      </c>
      <c r="E626" s="348">
        <f t="shared" si="267"/>
        <v>1.0019210872374793</v>
      </c>
      <c r="F626" s="349">
        <f t="shared" si="268"/>
        <v>6.1935721367190132E-2</v>
      </c>
      <c r="G626" s="338">
        <f t="shared" si="278"/>
        <v>1</v>
      </c>
      <c r="H626" s="339">
        <f t="shared" si="279"/>
        <v>0</v>
      </c>
      <c r="I626" s="355">
        <f t="shared" si="269"/>
        <v>7600315.504617257</v>
      </c>
      <c r="J626" s="356">
        <f t="shared" si="270"/>
        <v>1.5707961952214113</v>
      </c>
      <c r="K626" s="348">
        <f t="shared" si="271"/>
        <v>174.56860141690214</v>
      </c>
      <c r="L626" s="349">
        <f t="shared" si="272"/>
        <v>1.5650678884556308</v>
      </c>
      <c r="M626" s="337">
        <f t="shared" si="273"/>
        <v>1.4366957515743173</v>
      </c>
      <c r="N626" s="340">
        <f t="shared" si="274"/>
        <v>0.80092676003556129</v>
      </c>
      <c r="O626" s="355">
        <f t="shared" si="280"/>
        <v>1.5582776446110058</v>
      </c>
      <c r="P626" s="342" t="e">
        <f t="shared" si="281"/>
        <v>#DIV/0!</v>
      </c>
      <c r="Q626" s="343">
        <f t="shared" si="282"/>
        <v>-31.898151461019676</v>
      </c>
      <c r="R626" s="344" t="e">
        <f t="shared" si="283"/>
        <v>#DIV/0!</v>
      </c>
      <c r="S626" s="346" t="e">
        <f t="shared" si="275"/>
        <v>#DIV/0!</v>
      </c>
      <c r="T626" s="319" t="s">
        <v>333</v>
      </c>
      <c r="X626" s="345">
        <f t="shared" si="276"/>
        <v>1.7826184783140306</v>
      </c>
      <c r="Y626" s="346">
        <f t="shared" si="277"/>
        <v>-46.217930903372064</v>
      </c>
      <c r="AA626" s="345">
        <f t="shared" si="284"/>
        <v>4.5371970740125525</v>
      </c>
      <c r="AB626" s="346" t="e">
        <f t="shared" si="285"/>
        <v>#DIV/0!</v>
      </c>
    </row>
    <row r="627" spans="1:28" ht="13.5" thickBot="1" x14ac:dyDescent="0.25">
      <c r="A627" s="406">
        <f>Fp2_u</f>
        <v>1042863.4307551206</v>
      </c>
      <c r="C627" s="355">
        <f>SQRT(1+(A627/pole1)^2)</f>
        <v>16.801818702226672</v>
      </c>
      <c r="D627" s="348">
        <f>ATAN(A627/pole1)</f>
        <v>1.5112437660290869</v>
      </c>
      <c r="E627" s="348">
        <f>SQRT(1+(A627/Zero1)^2)</f>
        <v>1.0018950863639526</v>
      </c>
      <c r="F627" s="349">
        <f>ATAN(A627/Zero1)</f>
        <v>6.1515825640937993E-2</v>
      </c>
      <c r="G627" s="338">
        <f t="shared" si="278"/>
        <v>1</v>
      </c>
      <c r="H627" s="339">
        <f t="shared" si="279"/>
        <v>0</v>
      </c>
      <c r="I627" s="355">
        <f>SQRT(1+(A627/Pole2)^2)</f>
        <v>7548658.1923490362</v>
      </c>
      <c r="J627" s="356">
        <f>ATAN(A627/Pole2)</f>
        <v>1.5707961943210218</v>
      </c>
      <c r="K627" s="348">
        <f>SQRT(1+(A627/Zero2)^2)</f>
        <v>173.382144377907</v>
      </c>
      <c r="L627" s="349">
        <f>ATAN(A627/Zero2)</f>
        <v>1.565028688218933</v>
      </c>
      <c r="M627" s="337">
        <f>SQRT(1+(A627/pole4)^2)</f>
        <v>1.4316700405432512</v>
      </c>
      <c r="N627" s="340">
        <f>ATAN(A627/pole4)</f>
        <v>0.79751810212526819</v>
      </c>
      <c r="O627" s="355">
        <f t="shared" si="280"/>
        <v>1.5477457382320272</v>
      </c>
      <c r="P627" s="342">
        <f t="shared" si="281"/>
        <v>1.5620433111612584</v>
      </c>
      <c r="Q627" s="343">
        <f t="shared" si="282"/>
        <v>-31.750004243919637</v>
      </c>
      <c r="R627" s="344">
        <f t="shared" si="283"/>
        <v>-218.58665691741339</v>
      </c>
      <c r="S627" s="346">
        <f>IF(R627&gt;0,R627,R627+180)</f>
        <v>-38.586656917413393</v>
      </c>
      <c r="T627" s="319" t="s">
        <v>345</v>
      </c>
      <c r="X627" s="357"/>
      <c r="Y627" s="358"/>
      <c r="AA627" s="345">
        <f t="shared" si="284"/>
        <v>4.6549049217048637</v>
      </c>
      <c r="AB627" s="346">
        <f t="shared" si="285"/>
        <v>-172.56178176979543</v>
      </c>
    </row>
    <row r="628" spans="1:28" x14ac:dyDescent="0.2">
      <c r="A628" s="406">
        <f>z_RHP</f>
        <v>0</v>
      </c>
      <c r="C628" s="355">
        <f>SQRT(1+(A628/pole1)^2)</f>
        <v>1</v>
      </c>
      <c r="D628" s="348">
        <f>ATAN(A628/pole1)</f>
        <v>0</v>
      </c>
      <c r="E628" s="348">
        <f>SQRT(1+(A628/Zero1)^2)</f>
        <v>1</v>
      </c>
      <c r="F628" s="349">
        <f>ATAN(A628/Zero1)</f>
        <v>0</v>
      </c>
      <c r="G628" s="338">
        <f t="shared" si="278"/>
        <v>1</v>
      </c>
      <c r="H628" s="339">
        <f t="shared" si="279"/>
        <v>0</v>
      </c>
      <c r="I628" s="355">
        <f>SQRT(1+(A628/Pole2)^2)</f>
        <v>1</v>
      </c>
      <c r="J628" s="356">
        <f>ATAN(A628/Pole2)</f>
        <v>0</v>
      </c>
      <c r="K628" s="348">
        <f>SQRT(1+(A628/Zero2)^2)</f>
        <v>1</v>
      </c>
      <c r="L628" s="349">
        <f>ATAN(A628/Zero2)</f>
        <v>0</v>
      </c>
      <c r="M628" s="337">
        <f>SQRT(1+(A628/pole4)^2)</f>
        <v>1</v>
      </c>
      <c r="N628" s="340">
        <f>ATAN(A628/pole4)</f>
        <v>0</v>
      </c>
      <c r="O628" s="355">
        <f t="shared" si="280"/>
        <v>1</v>
      </c>
      <c r="P628" s="342">
        <f t="shared" si="281"/>
        <v>0</v>
      </c>
      <c r="Q628" s="343">
        <f t="shared" si="282"/>
        <v>92.428835596228907</v>
      </c>
      <c r="R628" s="344">
        <f t="shared" si="283"/>
        <v>0</v>
      </c>
      <c r="S628" s="346">
        <f>IF(R628&gt;0,R628,R628+180)</f>
        <v>180</v>
      </c>
      <c r="T628" s="319" t="s">
        <v>439</v>
      </c>
      <c r="X628" s="353"/>
      <c r="Y628" s="353"/>
      <c r="AA628" s="345">
        <f t="shared" si="284"/>
        <v>32.93957820894493</v>
      </c>
      <c r="AB628" s="346">
        <f t="shared" si="285"/>
        <v>0</v>
      </c>
    </row>
    <row r="629" spans="1:28" x14ac:dyDescent="0.2">
      <c r="A629" s="406">
        <f>Fp2_u</f>
        <v>1042863.4307551206</v>
      </c>
      <c r="Q629" s="343">
        <v>-25</v>
      </c>
    </row>
    <row r="631" spans="1:28" x14ac:dyDescent="0.2">
      <c r="D631" s="319" t="s">
        <v>364</v>
      </c>
      <c r="E631" s="319" t="s">
        <v>365</v>
      </c>
    </row>
    <row r="632" spans="1:28" x14ac:dyDescent="0.2">
      <c r="A632" s="319" t="s">
        <v>337</v>
      </c>
      <c r="B632" s="319" t="s">
        <v>436</v>
      </c>
      <c r="C632" s="359">
        <f>pole1</f>
        <v>62178.710970407672</v>
      </c>
      <c r="D632" s="359">
        <f>Q622</f>
        <v>-3.3411521296136959</v>
      </c>
      <c r="E632" s="359">
        <f>AA622</f>
        <v>29.922766619477773</v>
      </c>
    </row>
    <row r="633" spans="1:28" x14ac:dyDescent="0.2">
      <c r="A633" s="319" t="s">
        <v>332</v>
      </c>
      <c r="B633" s="319" t="s">
        <v>446</v>
      </c>
      <c r="C633" s="359">
        <f>Zero1</f>
        <v>16931376.944016635</v>
      </c>
      <c r="D633" s="359">
        <f>Q623</f>
        <v>-118.78224626080625</v>
      </c>
      <c r="E633" s="359">
        <f>AA623</f>
        <v>-61.058521558888003</v>
      </c>
    </row>
    <row r="634" spans="1:28" x14ac:dyDescent="0.2">
      <c r="A634" s="319" t="s">
        <v>340</v>
      </c>
      <c r="B634" s="319" t="s">
        <v>447</v>
      </c>
      <c r="C634" s="359">
        <f>Pole2</f>
        <v>0.13815215952049953</v>
      </c>
      <c r="D634" s="359">
        <f>Q624</f>
        <v>89.418535641858625</v>
      </c>
      <c r="E634" s="359">
        <f>AA624</f>
        <v>32.939578208923457</v>
      </c>
    </row>
    <row r="635" spans="1:28" x14ac:dyDescent="0.2">
      <c r="A635" s="319" t="s">
        <v>335</v>
      </c>
      <c r="B635" s="319" t="s">
        <v>448</v>
      </c>
      <c r="C635" s="359">
        <f>Zero2</f>
        <v>6014.9260496506558</v>
      </c>
      <c r="D635" s="359">
        <f>Q625</f>
        <v>2.6210193797437049</v>
      </c>
      <c r="E635" s="359">
        <f>AA625</f>
        <v>32.899065973365239</v>
      </c>
    </row>
    <row r="636" spans="1:28" x14ac:dyDescent="0.2">
      <c r="A636" s="319" t="s">
        <v>333</v>
      </c>
      <c r="B636" s="319" t="s">
        <v>445</v>
      </c>
      <c r="C636" s="319">
        <f>pole3</f>
        <v>1050000</v>
      </c>
      <c r="D636" s="359">
        <f>Q626</f>
        <v>-31.898151461019676</v>
      </c>
      <c r="E636" s="359">
        <f>AA626</f>
        <v>4.5371970740125525</v>
      </c>
    </row>
    <row r="637" spans="1:28" x14ac:dyDescent="0.2">
      <c r="C637" s="406"/>
      <c r="D637" s="359"/>
      <c r="E637" s="359"/>
    </row>
    <row r="639" spans="1:28" x14ac:dyDescent="0.2">
      <c r="A639" s="359">
        <f>Q4*1000</f>
        <v>15400</v>
      </c>
    </row>
    <row r="640" spans="1:28" x14ac:dyDescent="0.2">
      <c r="A640" s="359">
        <f>Q4*1000</f>
        <v>15400</v>
      </c>
    </row>
    <row r="687" spans="30:31" x14ac:dyDescent="0.2">
      <c r="AD687" t="s">
        <v>44</v>
      </c>
      <c r="AE687" s="4">
        <f>SUM(AE689:AE1306)</f>
        <v>0</v>
      </c>
    </row>
  </sheetData>
  <mergeCells count="20">
    <mergeCell ref="Q10:S10"/>
    <mergeCell ref="X10:Y10"/>
    <mergeCell ref="AA10:AB10"/>
    <mergeCell ref="C11:D11"/>
    <mergeCell ref="E11:F11"/>
    <mergeCell ref="G11:H11"/>
    <mergeCell ref="I11:J11"/>
    <mergeCell ref="K11:L11"/>
    <mergeCell ref="M11:N11"/>
    <mergeCell ref="O11:P11"/>
    <mergeCell ref="A2:D2"/>
    <mergeCell ref="E2:G2"/>
    <mergeCell ref="J2:L2"/>
    <mergeCell ref="M2:O2"/>
    <mergeCell ref="P2:R2"/>
    <mergeCell ref="A10:A12"/>
    <mergeCell ref="B10:B11"/>
    <mergeCell ref="C10:H10"/>
    <mergeCell ref="I10:N10"/>
    <mergeCell ref="O10:P10"/>
  </mergeCells>
  <pageMargins left="0.75" right="0.75" top="1" bottom="1" header="0.5" footer="0.5"/>
  <pageSetup scale="48" orientation="portrait" horizontalDpi="300" verticalDpi="300" r:id="rId1"/>
  <headerFooter alignWithMargins="0"/>
  <colBreaks count="1" manualBreakCount="1">
    <brk id="1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N9"/>
  <sheetViews>
    <sheetView zoomScaleNormal="100" workbookViewId="0">
      <selection activeCell="F5" sqref="F5"/>
    </sheetView>
  </sheetViews>
  <sheetFormatPr defaultRowHeight="12.75" x14ac:dyDescent="0.2"/>
  <cols>
    <col min="1" max="1" width="10.5703125" customWidth="1"/>
    <col min="2" max="2" width="129.28515625" customWidth="1"/>
  </cols>
  <sheetData>
    <row r="1" spans="1:14" x14ac:dyDescent="0.2">
      <c r="J1" s="114" t="s">
        <v>621</v>
      </c>
      <c r="N1" s="114" t="s">
        <v>623</v>
      </c>
    </row>
    <row r="2" spans="1:14" x14ac:dyDescent="0.2">
      <c r="A2" t="str">
        <f>CHOOSE(BODE_PLOT_TYPE, "BODE_PLOT_Ch1", "BODE_PLOT_Ch2")</f>
        <v>BODE_PLOT_Ch1</v>
      </c>
      <c r="J2" s="114" t="s">
        <v>622</v>
      </c>
      <c r="N2" s="114" t="s">
        <v>777</v>
      </c>
    </row>
    <row r="3" spans="1:14" x14ac:dyDescent="0.2">
      <c r="J3" s="114" t="s">
        <v>620</v>
      </c>
    </row>
    <row r="4" spans="1:14" x14ac:dyDescent="0.2">
      <c r="J4" s="114" t="s">
        <v>619</v>
      </c>
    </row>
    <row r="5" spans="1:14" ht="409.5" customHeight="1" x14ac:dyDescent="0.2">
      <c r="B5" s="537"/>
    </row>
    <row r="6" spans="1:14" ht="12" customHeight="1" x14ac:dyDescent="0.2">
      <c r="B6" s="537"/>
      <c r="F6">
        <f ca="1">INDIRECT(A2)</f>
        <v>0</v>
      </c>
    </row>
    <row r="7" spans="1:14" ht="34.5" customHeight="1" x14ac:dyDescent="0.2"/>
    <row r="8" spans="1:14" ht="409.5" customHeight="1" x14ac:dyDescent="0.2">
      <c r="B8" s="537"/>
    </row>
    <row r="9" spans="1:14" x14ac:dyDescent="0.2">
      <c r="B9" s="53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BM209"/>
  <sheetViews>
    <sheetView topLeftCell="V1" zoomScaleNormal="100" workbookViewId="0">
      <pane ySplit="8" topLeftCell="A9" activePane="bottomLeft" state="frozen"/>
      <selection activeCell="F1" sqref="F1"/>
      <selection pane="bottomLeft" activeCell="AM9" sqref="AM9"/>
    </sheetView>
  </sheetViews>
  <sheetFormatPr defaultRowHeight="12.75" x14ac:dyDescent="0.2"/>
  <cols>
    <col min="1" max="1" width="19.85546875" customWidth="1"/>
    <col min="2" max="2" width="13.140625" bestFit="1" customWidth="1"/>
    <col min="4" max="4" width="74.5703125" customWidth="1"/>
    <col min="6" max="6" width="9.140625" customWidth="1"/>
    <col min="7" max="7" width="6.85546875" customWidth="1"/>
    <col min="8" max="8" width="9.140625" style="547"/>
    <col min="9" max="10" width="9.85546875" customWidth="1"/>
    <col min="11" max="11" width="8.140625" customWidth="1"/>
    <col min="12" max="12" width="7.42578125" customWidth="1"/>
    <col min="13" max="13" width="10.7109375" style="360" customWidth="1"/>
    <col min="14" max="16" width="8.85546875" style="4" customWidth="1"/>
    <col min="17" max="17" width="12.140625" style="4" customWidth="1"/>
    <col min="18" max="18" width="8" style="4" customWidth="1"/>
    <col min="19" max="19" width="9.42578125" style="311" customWidth="1"/>
    <col min="20" max="20" width="8" customWidth="1"/>
    <col min="21" max="21" width="9.28515625" customWidth="1"/>
    <col min="22" max="22" width="8.85546875" style="4" customWidth="1"/>
    <col min="23" max="23" width="9.85546875" customWidth="1"/>
    <col min="24" max="24" width="10.7109375" customWidth="1"/>
    <col min="25" max="25" width="9.7109375" style="311" customWidth="1"/>
    <col min="26" max="26" width="10.5703125" customWidth="1"/>
    <col min="28" max="29" width="8.5703125" customWidth="1"/>
    <col min="30" max="30" width="11.7109375" customWidth="1"/>
    <col min="31" max="31" width="12.85546875" customWidth="1"/>
    <col min="32" max="32" width="8" customWidth="1"/>
    <col min="33" max="33" width="9.85546875" customWidth="1"/>
    <col min="34" max="35" width="8.85546875" customWidth="1"/>
    <col min="36" max="36" width="10.5703125" customWidth="1"/>
    <col min="37" max="37" width="10.28515625" customWidth="1"/>
    <col min="38" max="38" width="13.7109375" customWidth="1"/>
    <col min="39" max="39" width="12" style="311" customWidth="1"/>
    <col min="40" max="40" width="11.5703125" customWidth="1"/>
    <col min="41" max="41" width="9.28515625" customWidth="1"/>
    <col min="42" max="43" width="10.42578125" customWidth="1"/>
    <col min="44" max="44" width="14.7109375" customWidth="1"/>
    <col min="46" max="46" width="8.42578125" style="4" customWidth="1"/>
    <col min="47" max="47" width="7.28515625" customWidth="1"/>
    <col min="48" max="48" width="10.140625" style="9" customWidth="1"/>
    <col min="49" max="49" width="12.42578125" style="379" customWidth="1"/>
    <col min="50" max="50" width="11.42578125" style="379" customWidth="1"/>
    <col min="51" max="51" width="3.28515625" customWidth="1"/>
    <col min="52" max="52" width="7.85546875" style="360" customWidth="1"/>
    <col min="53" max="53" width="9.140625" style="311"/>
    <col min="54" max="54" width="10.28515625" style="311" customWidth="1"/>
    <col min="55" max="55" width="12.140625" style="311" customWidth="1"/>
    <col min="56" max="56" width="8.85546875" style="311" customWidth="1"/>
    <col min="57" max="57" width="7.85546875" customWidth="1"/>
    <col min="61" max="61" width="28.42578125" customWidth="1"/>
    <col min="64" max="64" width="12.42578125" bestFit="1" customWidth="1"/>
  </cols>
  <sheetData>
    <row r="1" spans="1:65" ht="12.75" customHeight="1" x14ac:dyDescent="0.2">
      <c r="A1" s="763" t="s">
        <v>753</v>
      </c>
      <c r="B1" s="763"/>
      <c r="C1" s="763"/>
      <c r="D1" s="763"/>
    </row>
    <row r="2" spans="1:65" ht="12.75" customHeight="1" x14ac:dyDescent="0.2">
      <c r="A2" s="763"/>
      <c r="B2" s="763"/>
      <c r="C2" s="763"/>
      <c r="D2" s="763"/>
      <c r="H2" s="552">
        <f>AV19</f>
        <v>0.4516604609234981</v>
      </c>
      <c r="I2" s="114" t="s">
        <v>602</v>
      </c>
      <c r="J2" s="114"/>
      <c r="AK2" s="114"/>
    </row>
    <row r="3" spans="1:65" ht="12.75" customHeight="1" x14ac:dyDescent="0.2">
      <c r="A3" s="763"/>
      <c r="B3" s="763"/>
      <c r="C3" s="763"/>
      <c r="D3" s="763"/>
      <c r="H3" s="552">
        <f>AV59</f>
        <v>0.68705833398640448</v>
      </c>
      <c r="I3" s="114" t="s">
        <v>604</v>
      </c>
      <c r="J3" s="114"/>
      <c r="AK3" s="114"/>
      <c r="AP3">
        <f>IF(MODE=1, (Qg_Q1+Qg_Q2)*Fsw*Vin, (Qg_Q1+Qg_Q2+Qg_Q3+Qg_Q4)*Fsw*Vin)</f>
        <v>1.4553</v>
      </c>
    </row>
    <row r="4" spans="1:65" ht="12.75" customHeight="1" x14ac:dyDescent="0.2">
      <c r="A4" s="763"/>
      <c r="B4" s="763"/>
      <c r="C4" s="763"/>
      <c r="D4" s="763"/>
      <c r="H4" s="552">
        <f>AV109</f>
        <v>0.73033868532427237</v>
      </c>
      <c r="I4" s="114" t="s">
        <v>603</v>
      </c>
      <c r="J4" s="114"/>
      <c r="AK4" s="114"/>
      <c r="AO4" s="114" t="s">
        <v>815</v>
      </c>
      <c r="AP4">
        <f>(Qg_Q1+Qg_Q2)*Fsw*1000</f>
        <v>69.3</v>
      </c>
      <c r="AQ4" s="114" t="s">
        <v>64</v>
      </c>
      <c r="AR4">
        <f>AP4*5/1000</f>
        <v>0.34649999999999997</v>
      </c>
    </row>
    <row r="5" spans="1:65" x14ac:dyDescent="0.2">
      <c r="A5" s="10"/>
      <c r="B5" s="11"/>
      <c r="C5" s="6"/>
      <c r="D5" s="6"/>
    </row>
    <row r="6" spans="1:65" ht="13.5" customHeight="1" thickBot="1" x14ac:dyDescent="0.25">
      <c r="A6" s="764" t="s">
        <v>474</v>
      </c>
      <c r="B6" s="764"/>
      <c r="C6" s="764"/>
      <c r="D6" s="764"/>
    </row>
    <row r="7" spans="1:65" ht="13.5" thickBot="1" x14ac:dyDescent="0.25">
      <c r="A7" s="764"/>
      <c r="B7" s="764"/>
      <c r="C7" s="764"/>
      <c r="D7" s="764"/>
      <c r="G7" s="756" t="s">
        <v>595</v>
      </c>
      <c r="H7" s="757"/>
      <c r="I7" s="757"/>
      <c r="J7" s="757"/>
      <c r="K7" s="757"/>
      <c r="L7" s="757"/>
      <c r="M7" s="757"/>
      <c r="N7" s="758"/>
      <c r="O7" s="651"/>
      <c r="P7" s="651"/>
      <c r="Q7" s="651"/>
      <c r="R7" s="756" t="s">
        <v>485</v>
      </c>
      <c r="S7" s="757"/>
      <c r="T7" s="757"/>
      <c r="U7" s="758"/>
      <c r="V7" s="765" t="s">
        <v>25</v>
      </c>
      <c r="W7" s="766"/>
      <c r="X7" s="767"/>
      <c r="Y7" s="756" t="s">
        <v>57</v>
      </c>
      <c r="Z7" s="757"/>
      <c r="AA7" s="758"/>
      <c r="AB7" s="756" t="s">
        <v>592</v>
      </c>
      <c r="AC7" s="757"/>
      <c r="AD7" s="757"/>
      <c r="AE7" s="757"/>
      <c r="AF7" s="757"/>
      <c r="AG7" s="758"/>
      <c r="AH7" s="756" t="s">
        <v>593</v>
      </c>
      <c r="AI7" s="757"/>
      <c r="AJ7" s="757"/>
      <c r="AK7" s="758"/>
      <c r="AL7" s="466" t="s">
        <v>201</v>
      </c>
      <c r="AM7" s="468" t="s">
        <v>458</v>
      </c>
      <c r="AN7" s="467" t="s">
        <v>503</v>
      </c>
      <c r="AO7" s="759" t="s">
        <v>492</v>
      </c>
      <c r="AP7" s="760"/>
      <c r="AQ7" s="760"/>
      <c r="AR7" s="761"/>
      <c r="AS7" s="762"/>
      <c r="AT7" s="756" t="s">
        <v>500</v>
      </c>
      <c r="AU7" s="757"/>
      <c r="AV7" s="757"/>
      <c r="AW7" s="757"/>
      <c r="AX7" s="757"/>
      <c r="AY7" s="543"/>
      <c r="AZ7" s="755" t="s">
        <v>501</v>
      </c>
      <c r="BA7" s="755"/>
      <c r="BB7" s="755"/>
      <c r="BC7" s="755"/>
      <c r="BD7" s="755"/>
      <c r="BE7" s="755"/>
    </row>
    <row r="8" spans="1:65" ht="64.5" thickBot="1" x14ac:dyDescent="0.45">
      <c r="A8" s="606" t="s">
        <v>108</v>
      </c>
      <c r="B8" s="13"/>
      <c r="C8" s="13"/>
      <c r="D8" s="6"/>
      <c r="G8" s="451" t="s">
        <v>53</v>
      </c>
      <c r="H8" s="538" t="s">
        <v>3</v>
      </c>
      <c r="I8" s="538" t="s">
        <v>594</v>
      </c>
      <c r="J8" s="538" t="s">
        <v>5</v>
      </c>
      <c r="K8" s="452" t="s">
        <v>774</v>
      </c>
      <c r="L8" s="452" t="s">
        <v>305</v>
      </c>
      <c r="M8" s="463" t="s">
        <v>596</v>
      </c>
      <c r="N8" s="540" t="s">
        <v>486</v>
      </c>
      <c r="O8" s="652" t="s">
        <v>830</v>
      </c>
      <c r="P8" s="652" t="s">
        <v>831</v>
      </c>
      <c r="Q8" s="652" t="s">
        <v>832</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828</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x14ac:dyDescent="0.2">
      <c r="A9" s="14" t="s">
        <v>55</v>
      </c>
      <c r="B9" s="15" t="s">
        <v>111</v>
      </c>
      <c r="C9" s="16" t="s">
        <v>76</v>
      </c>
      <c r="D9" s="17" t="s">
        <v>107</v>
      </c>
      <c r="G9">
        <v>0</v>
      </c>
      <c r="H9" s="548">
        <f t="shared" ref="H9:H40" si="0">Vin</f>
        <v>21</v>
      </c>
      <c r="I9" s="4">
        <f t="shared" ref="I9:I40" si="1">MODE</f>
        <v>1</v>
      </c>
      <c r="J9">
        <v>0</v>
      </c>
      <c r="K9" s="360">
        <f t="shared" ref="K9:K40" si="2">Iout*G9/100/Number_of_Phases</f>
        <v>0</v>
      </c>
      <c r="L9" s="4">
        <f t="shared" ref="L9:L40" si="3">Vout*K9/(Vin*Efficiency)</f>
        <v>0</v>
      </c>
      <c r="M9" s="360">
        <f t="shared" ref="M9:M40" si="4">(Vout+(Rdson2+Rs+Rdcr)*K9)/(Vin+(Rs+Rdson2-Rdson1)*K9)</f>
        <v>0.15714285714285714</v>
      </c>
      <c r="N9" s="4">
        <f t="shared" ref="N9:N40" si="5">(Vin-(Rdson1+Rdcr)*K9-Vout)*M9/(Fsw*Lf)</f>
        <v>1.9477791116446574</v>
      </c>
      <c r="O9" s="4">
        <f>K9+N9/2</f>
        <v>0.97388955582232872</v>
      </c>
      <c r="P9" s="4">
        <f>K9-N9/2</f>
        <v>-0.97388955582232872</v>
      </c>
      <c r="Q9" s="4">
        <f t="shared" ref="Q9:Q40" si="6">IF(MIN(Vin, -P9/(Coss_Q1+Coss_Q2)*0.00000002)&lt;0, 0, MIN(Vin, -P9/(Coss_Q1+Coss_Q2)*0.00000002))</f>
        <v>10.181804033688747</v>
      </c>
      <c r="R9" s="4">
        <f>SQRT(K9^2+(N9^2)/12)</f>
        <v>0.56227539721498654</v>
      </c>
      <c r="S9" s="360">
        <f t="shared" ref="S9:S40" si="7">R9^2*Rdcr</f>
        <v>1.5807681115663544E-3</v>
      </c>
      <c r="T9" s="360">
        <f t="shared" ref="T9:T40" si="8">Core_Loss_Ch1</f>
        <v>0.3</v>
      </c>
      <c r="U9" s="360">
        <f t="shared" ref="U9:U40" si="9">(T9+S9*(1+Ltc*(Ta-25)))/(1-S9*Ltc*ThetaCa)</f>
        <v>0.30161891127610962</v>
      </c>
      <c r="V9" s="4">
        <f>N9/SQRT(12)</f>
        <v>0.56227539721498654</v>
      </c>
      <c r="W9" s="360">
        <f t="shared" ref="W9:W73" si="10">RCoutEsr*V9^2</f>
        <v>6.3230724462654182E-4</v>
      </c>
      <c r="X9" s="360">
        <f>W9</f>
        <v>6.3230724462654182E-4</v>
      </c>
      <c r="Y9" s="4">
        <f>SQRT(M9*(1-M9))*SQRT(K9^2+(N9^2)/12)</f>
        <v>0.20463192485449497</v>
      </c>
      <c r="Z9" s="360">
        <f t="shared" ref="Z9:Z73" si="11">RCinEsr*Y9^2</f>
        <v>4.1874224669655675E-5</v>
      </c>
      <c r="AA9" s="541">
        <f>Z9</f>
        <v>4.1874224669655675E-5</v>
      </c>
      <c r="AB9" s="360">
        <f>SQRT(M9)*SQRT(K9^2+(N9^2)/12)</f>
        <v>0.22289298666932331</v>
      </c>
      <c r="AC9" s="360">
        <f t="shared" ref="AC9:AC40" si="12">Rdson1*AB9^2</f>
        <v>2.9808770103822687E-4</v>
      </c>
      <c r="AD9" s="360">
        <f t="shared" ref="AD9:AD40" si="13">(Vin*K9/2)*Fsw*(Tr_buck+Tf_buck)</f>
        <v>0</v>
      </c>
      <c r="AE9" s="360">
        <f t="shared" ref="AE9:AE40" si="14">(0.5*Coss_Q1*(Vin-Q9)^2-0.5*Coss_Q2*(Vin-Q9)^2+(Qoss_Q2*(Vin-Q9)/Vin)*Vin)*Fsw</f>
        <v>0.49881630305005498</v>
      </c>
      <c r="AF9" s="360">
        <f t="shared" ref="AF9:AF40" si="15">IF(K9&gt;N9/2,0,ABS(K9-N9/2)*Vsd_Q1*Deadtime*Fsw)</f>
        <v>2.0042647058823523E-2</v>
      </c>
      <c r="AG9" s="360">
        <f t="shared" ref="AG9:AG40" si="16">(AF9+AE9+AD9+AC9*(1+RdsonTopTc*Ta-RdsonTopTc*25))/(1-AC9*RdsonTopTc*ThetaJA_Q1)</f>
        <v>0.51918799052081699</v>
      </c>
      <c r="AH9" s="360">
        <f t="shared" ref="AH9:AH40" si="17">SQRT((1-M9))*SQRT(K9^2+(N9^2)/12)</f>
        <v>0.51620958806176753</v>
      </c>
      <c r="AI9" s="360">
        <f t="shared" ref="AI9:AI40" si="18">Rdson2*AH9^2</f>
        <v>6.6618084701724936E-4</v>
      </c>
      <c r="AJ9" s="360">
        <f t="shared" ref="AJ9:AJ40" si="19">IF(K9&lt;N9/2,Deadtime*Fsw*IF(VfdSky_Q2&gt;0,0,Vsd_Q2)*(K9+N9/2),2*Deadtime*Fsw*IF(VfdSky_Q2&gt;0,0,Vsd_Q2)*K9)</f>
        <v>2.0042647058823523E-2</v>
      </c>
      <c r="AK9" s="360">
        <f t="shared" ref="AK9:AK40" si="20">(AJ9+AI9*(1+RdsonBotTc*Ta-RdsonBotTc*25))/(1-AI9*RdsonBotTc*ThetaJA_Q2)</f>
        <v>2.0710925083526201E-2</v>
      </c>
      <c r="AL9" s="360">
        <f t="shared" ref="AL9:AL40" si="21">2*Deadtime*Fsw*IF(VfdSky_Q2&gt;0,VfdSky_Q2,Vsd_Q2)*K9</f>
        <v>0</v>
      </c>
      <c r="AM9" s="360">
        <f t="shared" ref="AM9:AM40" si="22">IF(QrrSky_Q2&gt;0,QrrSky_Q2,Qrr_Q2*K9/(Iout/Number_of_Phases))*Fsw*Vin</f>
        <v>0</v>
      </c>
      <c r="AN9" s="360">
        <f t="shared" ref="AN9:AN40" si="23">CHOOSE(SENSING_TYPE, Rs*R9^2, 0)</f>
        <v>3.1615362231327089E-3</v>
      </c>
      <c r="AO9" s="360">
        <f t="shared" ref="AO9:AO40" si="24">Iq*Vin</f>
        <v>7.3499999999999998E-4</v>
      </c>
      <c r="AP9" s="360">
        <f t="shared" ref="AP9:AP40" si="25">IF(Ext_VCC=1,  (Qg_Q1+Qg_Q2)*Fsw*VCC, (Qg_Q1+Qg_Q2)*Fsw*Vin)</f>
        <v>0.34650000000000003</v>
      </c>
      <c r="AQ9" s="360">
        <f t="shared" ref="AQ9:AQ72" si="26">(Vin-VCC)*Fsw*(Qg_Q1+Qg_Q2)+(RdsonDRT+RdsonDRT2)*Fsw*Qg_Q1*VCC/(RdsonDRT+2*Rgate1+RdsonDRT2)+(RdsonDRB+RdsonDRB2)*Fsw*Qg_Q2*VCC/(RdsonDRB+2*Rgate2+RdsonDRB2)</f>
        <v>1.3167</v>
      </c>
      <c r="AR9" s="360">
        <f t="shared" ref="AR9:AR40" si="27">(Qg_Q1+Qg_Q2)*Fsw*(Vin-VCC)</f>
        <v>1.1088</v>
      </c>
      <c r="AS9" s="360">
        <f t="shared" ref="AS9:AS40" si="28">SUM(AO9:AP9)</f>
        <v>0.34723500000000002</v>
      </c>
      <c r="AT9" s="360">
        <f t="shared" ref="AT9:AT40" si="29" xml:space="preserve"> SUM(U9,X9,AA9,AG9,AK9,AL9,AM9,AS9,AN9)</f>
        <v>1.1925885445728819</v>
      </c>
      <c r="AU9">
        <f t="shared" ref="AU9:AU40" si="30">Vout*K9</f>
        <v>0</v>
      </c>
      <c r="AV9" s="542">
        <f>AU9/(AU9+AT9)</f>
        <v>0</v>
      </c>
      <c r="AW9" s="551">
        <f t="shared" ref="AW9:AW40" si="31">ThetaJA_Q1*BC9</f>
        <v>25.959399526040848</v>
      </c>
      <c r="AX9" s="551">
        <f t="shared" ref="AX9:AX40" si="32">ThetaJA_Q2*BD9</f>
        <v>0.78701515317399562</v>
      </c>
      <c r="AZ9" s="4">
        <f>AV9*100</f>
        <v>0</v>
      </c>
      <c r="BA9" s="360">
        <f t="shared" ref="BA9:BA40" si="33">U9</f>
        <v>0.30161891127610962</v>
      </c>
      <c r="BB9" s="360">
        <f t="shared" ref="BB9:BB40" si="34">AG9+AK9+AM9</f>
        <v>0.53989891560434322</v>
      </c>
      <c r="BC9" s="360">
        <f t="shared" ref="BC9:BC40" si="35">AG9+AM9*0.66</f>
        <v>0.51918799052081699</v>
      </c>
      <c r="BD9" s="360">
        <f t="shared" ref="BD9:BD40" si="36">AK9+AM9*0.33</f>
        <v>2.0710925083526201E-2</v>
      </c>
      <c r="BE9" s="360">
        <f t="shared" ref="BE9:BE40" si="37">AN9</f>
        <v>3.1615362231327089E-3</v>
      </c>
      <c r="BJ9" s="18"/>
      <c r="BK9" s="18"/>
      <c r="BL9" s="18"/>
      <c r="BM9" s="19"/>
    </row>
    <row r="10" spans="1:65" x14ac:dyDescent="0.2">
      <c r="A10" s="495"/>
      <c r="B10" s="24"/>
      <c r="C10" s="16"/>
      <c r="D10" s="17"/>
      <c r="G10">
        <v>1</v>
      </c>
      <c r="H10" s="548">
        <f t="shared" si="0"/>
        <v>21</v>
      </c>
      <c r="I10" s="4">
        <f t="shared" si="1"/>
        <v>1</v>
      </c>
      <c r="J10" s="360">
        <f t="shared" ref="J10:J41" si="38">Iout*G10/100</f>
        <v>0.04</v>
      </c>
      <c r="K10" s="360">
        <f t="shared" si="2"/>
        <v>0.04</v>
      </c>
      <c r="L10" s="4">
        <f t="shared" si="3"/>
        <v>6.9841269841269833E-3</v>
      </c>
      <c r="M10" s="360">
        <f t="shared" si="4"/>
        <v>0.15717424450935369</v>
      </c>
      <c r="N10" s="4">
        <f t="shared" si="5"/>
        <v>1.9481197276946607</v>
      </c>
      <c r="O10" s="4">
        <f t="shared" ref="O10:O73" si="39">K10+N10/2</f>
        <v>1.0140598638473304</v>
      </c>
      <c r="P10" s="4">
        <f t="shared" ref="P10:P73" si="40">K10-N10/2</f>
        <v>-0.93405986384733031</v>
      </c>
      <c r="Q10" s="4">
        <f t="shared" si="6"/>
        <v>9.7653932446140139</v>
      </c>
      <c r="R10" s="4">
        <f t="shared" ref="R10:R73" si="41">SQRT(K10^2+(N10^2)/12)</f>
        <v>0.56379447152258111</v>
      </c>
      <c r="S10" s="360">
        <f t="shared" si="7"/>
        <v>1.5893210305971326E-3</v>
      </c>
      <c r="T10" s="360">
        <f t="shared" si="8"/>
        <v>0.3</v>
      </c>
      <c r="U10" s="360">
        <f t="shared" si="9"/>
        <v>0.30162767168675886</v>
      </c>
      <c r="V10" s="4">
        <f t="shared" ref="V10:V73" si="42">N10/SQRT(12)</f>
        <v>0.56237372459906643</v>
      </c>
      <c r="W10" s="360">
        <f t="shared" si="10"/>
        <v>6.3252841223885323E-4</v>
      </c>
      <c r="X10" s="360">
        <f t="shared" ref="X10:X73" si="43">W10</f>
        <v>6.3252841223885323E-4</v>
      </c>
      <c r="Y10" s="4">
        <f t="shared" ref="Y10:Y73" si="44">SQRT(M10*(1-M10))*SQRT(K10^2+(N10^2)/12)</f>
        <v>0.20520143945142844</v>
      </c>
      <c r="Z10" s="360">
        <f t="shared" si="11"/>
        <v>4.2107630752938251E-5</v>
      </c>
      <c r="AA10" s="541">
        <f t="shared" ref="AA10:AA73" si="45">Z10</f>
        <v>4.2107630752938251E-5</v>
      </c>
      <c r="AB10" s="360">
        <f t="shared" ref="AB10:AB73" si="46">SQRT(M10)*SQRT(K10^2+(N10^2)/12)</f>
        <v>0.2235174857888893</v>
      </c>
      <c r="AC10" s="360">
        <f t="shared" si="12"/>
        <v>2.9976039872031798E-4</v>
      </c>
      <c r="AD10" s="360">
        <f t="shared" si="13"/>
        <v>3.1252540187931967E-3</v>
      </c>
      <c r="AE10" s="360">
        <f t="shared" si="14"/>
        <v>0.5107122667051005</v>
      </c>
      <c r="AF10" s="360">
        <f t="shared" si="15"/>
        <v>1.9222951997978056E-2</v>
      </c>
      <c r="AG10" s="360">
        <f t="shared" si="16"/>
        <v>0.53339221109296642</v>
      </c>
      <c r="AH10" s="360">
        <f t="shared" si="17"/>
        <v>0.51759457074629378</v>
      </c>
      <c r="AI10" s="360">
        <f t="shared" si="18"/>
        <v>6.697603491651003E-4</v>
      </c>
      <c r="AJ10" s="360">
        <f t="shared" si="19"/>
        <v>2.0869351997978056E-2</v>
      </c>
      <c r="AK10" s="360">
        <f t="shared" si="20"/>
        <v>2.1541305328994308E-2</v>
      </c>
      <c r="AL10" s="360">
        <f t="shared" si="21"/>
        <v>1.6463999999999999E-3</v>
      </c>
      <c r="AM10" s="360">
        <f t="shared" si="22"/>
        <v>2.6460000000000001E-2</v>
      </c>
      <c r="AN10" s="360">
        <f t="shared" si="23"/>
        <v>3.1786420611942651E-3</v>
      </c>
      <c r="AO10" s="360">
        <f t="shared" si="24"/>
        <v>7.3499999999999998E-4</v>
      </c>
      <c r="AP10" s="360">
        <f t="shared" si="25"/>
        <v>0.34650000000000003</v>
      </c>
      <c r="AQ10" s="360">
        <f t="shared" si="26"/>
        <v>1.3167</v>
      </c>
      <c r="AR10" s="360">
        <f t="shared" si="27"/>
        <v>1.1088</v>
      </c>
      <c r="AS10" s="360">
        <f t="shared" si="28"/>
        <v>0.34723500000000002</v>
      </c>
      <c r="AT10" s="360">
        <f t="shared" si="29"/>
        <v>1.235755866212906</v>
      </c>
      <c r="AU10">
        <f t="shared" si="30"/>
        <v>0.13200000000000001</v>
      </c>
      <c r="AV10" s="542">
        <f t="shared" ref="AV10:AV73" si="47">AU10/(AU10+AT10)</f>
        <v>9.6508451004115647E-2</v>
      </c>
      <c r="AW10" s="551">
        <f t="shared" si="31"/>
        <v>27.54279055464832</v>
      </c>
      <c r="AX10" s="551">
        <f t="shared" si="32"/>
        <v>1.1503780025017838</v>
      </c>
      <c r="AY10" s="9"/>
      <c r="AZ10" s="4">
        <f t="shared" ref="AZ10:AZ73" si="48">AV10*100</f>
        <v>9.6508451004115656</v>
      </c>
      <c r="BA10" s="360">
        <f t="shared" si="33"/>
        <v>0.30162767168675886</v>
      </c>
      <c r="BB10" s="360">
        <f t="shared" si="34"/>
        <v>0.5813935164219608</v>
      </c>
      <c r="BC10" s="360">
        <f t="shared" si="35"/>
        <v>0.55085581109296644</v>
      </c>
      <c r="BD10" s="360">
        <f t="shared" si="36"/>
        <v>3.0273105328994309E-2</v>
      </c>
      <c r="BE10" s="360">
        <f t="shared" si="37"/>
        <v>3.1786420611942651E-3</v>
      </c>
      <c r="BJ10" s="18"/>
      <c r="BK10" s="18"/>
      <c r="BL10" s="18"/>
      <c r="BM10" s="19"/>
    </row>
    <row r="11" spans="1:65" x14ac:dyDescent="0.2">
      <c r="A11" s="20" t="s">
        <v>3</v>
      </c>
      <c r="B11" s="5">
        <f>Vin</f>
        <v>21</v>
      </c>
      <c r="C11" s="440" t="s">
        <v>0</v>
      </c>
      <c r="D11" s="21" t="s">
        <v>3</v>
      </c>
      <c r="G11">
        <v>2</v>
      </c>
      <c r="H11" s="548">
        <f t="shared" si="0"/>
        <v>21</v>
      </c>
      <c r="I11" s="4">
        <f t="shared" si="1"/>
        <v>1</v>
      </c>
      <c r="J11" s="360">
        <f t="shared" si="38"/>
        <v>0.08</v>
      </c>
      <c r="K11" s="360">
        <f t="shared" si="2"/>
        <v>0.08</v>
      </c>
      <c r="L11" s="4">
        <f t="shared" si="3"/>
        <v>1.3968253968253967E-2</v>
      </c>
      <c r="M11" s="360">
        <f t="shared" si="4"/>
        <v>0.15720563109865848</v>
      </c>
      <c r="N11" s="4">
        <f t="shared" si="5"/>
        <v>1.9484603147695296</v>
      </c>
      <c r="O11" s="4">
        <f t="shared" si="39"/>
        <v>1.0542301573847648</v>
      </c>
      <c r="P11" s="4">
        <f t="shared" si="40"/>
        <v>-0.89423015738476486</v>
      </c>
      <c r="Q11" s="4">
        <f t="shared" si="6"/>
        <v>9.3489823040749069</v>
      </c>
      <c r="R11" s="4">
        <f t="shared" si="41"/>
        <v>0.56813273084082028</v>
      </c>
      <c r="S11" s="360">
        <f t="shared" si="7"/>
        <v>1.6138739992632399E-3</v>
      </c>
      <c r="T11" s="360">
        <f t="shared" si="8"/>
        <v>0.3</v>
      </c>
      <c r="U11" s="360">
        <f t="shared" si="9"/>
        <v>0.30165282037075125</v>
      </c>
      <c r="V11" s="4">
        <f t="shared" si="42"/>
        <v>0.56247204361874548</v>
      </c>
      <c r="W11" s="360">
        <f t="shared" si="10"/>
        <v>6.3274959970529589E-4</v>
      </c>
      <c r="X11" s="360">
        <f t="shared" si="43"/>
        <v>6.3274959970529589E-4</v>
      </c>
      <c r="Y11" s="4">
        <f t="shared" si="44"/>
        <v>0.20679720850926703</v>
      </c>
      <c r="Z11" s="360">
        <f t="shared" si="11"/>
        <v>4.2765085447225265E-5</v>
      </c>
      <c r="AA11" s="541">
        <f t="shared" si="45"/>
        <v>4.2765085447225265E-5</v>
      </c>
      <c r="AB11" s="360">
        <f t="shared" si="46"/>
        <v>0.2252598857177609</v>
      </c>
      <c r="AC11" s="360">
        <f t="shared" si="12"/>
        <v>3.0445209668147221E-4</v>
      </c>
      <c r="AD11" s="360">
        <f t="shared" si="13"/>
        <v>6.2505080375863933E-3</v>
      </c>
      <c r="AE11" s="360">
        <f t="shared" si="14"/>
        <v>0.52206676462807222</v>
      </c>
      <c r="AF11" s="360">
        <f t="shared" si="15"/>
        <v>1.8403256638978457E-2</v>
      </c>
      <c r="AG11" s="360">
        <f t="shared" si="16"/>
        <v>0.54705829201012057</v>
      </c>
      <c r="AH11" s="360">
        <f t="shared" si="17"/>
        <v>0.52156762144430435</v>
      </c>
      <c r="AI11" s="360">
        <f t="shared" si="18"/>
        <v>6.8008195934767305E-4</v>
      </c>
      <c r="AJ11" s="360">
        <f t="shared" si="19"/>
        <v>2.1696056638978455E-2</v>
      </c>
      <c r="AK11" s="360">
        <f t="shared" si="20"/>
        <v>2.2378451913902694E-2</v>
      </c>
      <c r="AL11" s="360">
        <f t="shared" si="21"/>
        <v>3.2927999999999998E-3</v>
      </c>
      <c r="AM11" s="360">
        <f t="shared" si="22"/>
        <v>5.2920000000000002E-2</v>
      </c>
      <c r="AN11" s="360">
        <f t="shared" si="23"/>
        <v>3.2277479985264798E-3</v>
      </c>
      <c r="AO11" s="360">
        <f t="shared" si="24"/>
        <v>7.3499999999999998E-4</v>
      </c>
      <c r="AP11" s="360">
        <f t="shared" si="25"/>
        <v>0.34650000000000003</v>
      </c>
      <c r="AQ11" s="360">
        <f t="shared" si="26"/>
        <v>1.3167</v>
      </c>
      <c r="AR11" s="360">
        <f t="shared" si="27"/>
        <v>1.1088</v>
      </c>
      <c r="AS11" s="360">
        <f t="shared" si="28"/>
        <v>0.34723500000000002</v>
      </c>
      <c r="AT11" s="360">
        <f t="shared" si="29"/>
        <v>1.2784406269784534</v>
      </c>
      <c r="AU11">
        <f t="shared" si="30"/>
        <v>0.26400000000000001</v>
      </c>
      <c r="AV11" s="542">
        <f t="shared" si="47"/>
        <v>0.17115731742437296</v>
      </c>
      <c r="AW11" s="551">
        <f t="shared" si="31"/>
        <v>29.099274600506032</v>
      </c>
      <c r="AX11" s="551">
        <f t="shared" si="32"/>
        <v>1.5139979727283024</v>
      </c>
      <c r="AY11" s="9"/>
      <c r="AZ11" s="4">
        <f t="shared" si="48"/>
        <v>17.115731742437294</v>
      </c>
      <c r="BA11" s="360">
        <f t="shared" si="33"/>
        <v>0.30165282037075125</v>
      </c>
      <c r="BB11" s="360">
        <f t="shared" si="34"/>
        <v>0.62235674392402318</v>
      </c>
      <c r="BC11" s="360">
        <f t="shared" si="35"/>
        <v>0.58198549201012062</v>
      </c>
      <c r="BD11" s="360">
        <f t="shared" si="36"/>
        <v>3.9842051913902693E-2</v>
      </c>
      <c r="BE11" s="360">
        <f t="shared" si="37"/>
        <v>3.2277479985264798E-3</v>
      </c>
      <c r="BJ11" s="18"/>
      <c r="BK11" s="18"/>
      <c r="BL11" s="18"/>
      <c r="BM11" s="19"/>
    </row>
    <row r="12" spans="1:65" x14ac:dyDescent="0.2">
      <c r="A12" s="22" t="s">
        <v>4</v>
      </c>
      <c r="B12" s="5">
        <f>Vout</f>
        <v>3.3</v>
      </c>
      <c r="C12" s="440" t="s">
        <v>0</v>
      </c>
      <c r="D12" s="21" t="s">
        <v>4</v>
      </c>
      <c r="G12">
        <v>3</v>
      </c>
      <c r="H12" s="548">
        <f t="shared" si="0"/>
        <v>21</v>
      </c>
      <c r="I12" s="4">
        <f t="shared" si="1"/>
        <v>1</v>
      </c>
      <c r="J12" s="360">
        <f t="shared" si="38"/>
        <v>0.12</v>
      </c>
      <c r="K12" s="360">
        <f t="shared" si="2"/>
        <v>0.12</v>
      </c>
      <c r="L12" s="4">
        <f t="shared" si="3"/>
        <v>2.0952380952380948E-2</v>
      </c>
      <c r="M12" s="360">
        <f t="shared" si="4"/>
        <v>0.15723701691080044</v>
      </c>
      <c r="N12" s="4">
        <f t="shared" si="5"/>
        <v>1.9488008728703399</v>
      </c>
      <c r="O12" s="4">
        <f t="shared" si="39"/>
        <v>1.09440043643517</v>
      </c>
      <c r="P12" s="4">
        <f t="shared" si="40"/>
        <v>-0.85440043643516994</v>
      </c>
      <c r="Q12" s="4">
        <f t="shared" si="6"/>
        <v>8.9325712120770522</v>
      </c>
      <c r="R12" s="4">
        <f t="shared" si="41"/>
        <v>0.57522639326473013</v>
      </c>
      <c r="S12" s="360">
        <f t="shared" si="7"/>
        <v>1.6544270175417497E-3</v>
      </c>
      <c r="T12" s="360">
        <f t="shared" si="8"/>
        <v>0.3</v>
      </c>
      <c r="U12" s="360">
        <f t="shared" si="9"/>
        <v>0.30169435752123158</v>
      </c>
      <c r="V12" s="4">
        <f t="shared" si="42"/>
        <v>0.56257035427433422</v>
      </c>
      <c r="W12" s="360">
        <f t="shared" si="10"/>
        <v>6.3297080701669984E-4</v>
      </c>
      <c r="X12" s="360">
        <f t="shared" si="43"/>
        <v>6.3297080701669984E-4</v>
      </c>
      <c r="Y12" s="4">
        <f t="shared" si="44"/>
        <v>0.20939626381764936</v>
      </c>
      <c r="Z12" s="360">
        <f t="shared" si="11"/>
        <v>4.3846795300790617E-5</v>
      </c>
      <c r="AA12" s="541">
        <f t="shared" si="45"/>
        <v>4.3846795300790617E-5</v>
      </c>
      <c r="AB12" s="360">
        <f t="shared" si="46"/>
        <v>0.22809522964538179</v>
      </c>
      <c r="AC12" s="360">
        <f t="shared" si="12"/>
        <v>3.1216460272187672E-4</v>
      </c>
      <c r="AD12" s="360">
        <f t="shared" si="13"/>
        <v>9.3757620563795895E-3</v>
      </c>
      <c r="AE12" s="360">
        <f t="shared" si="14"/>
        <v>0.53287979622796822</v>
      </c>
      <c r="AF12" s="360">
        <f t="shared" si="15"/>
        <v>1.7583560981835795E-2</v>
      </c>
      <c r="AG12" s="360">
        <f t="shared" si="16"/>
        <v>0.560186257933037</v>
      </c>
      <c r="AH12" s="360">
        <f t="shared" si="17"/>
        <v>0.52807004243885158</v>
      </c>
      <c r="AI12" s="360">
        <f t="shared" si="18"/>
        <v>6.9714492430342624E-4</v>
      </c>
      <c r="AJ12" s="360">
        <f t="shared" si="19"/>
        <v>2.2522760981835796E-2</v>
      </c>
      <c r="AK12" s="360">
        <f t="shared" si="20"/>
        <v>2.3222366688109394E-2</v>
      </c>
      <c r="AL12" s="360">
        <f t="shared" si="21"/>
        <v>4.9391999999999995E-3</v>
      </c>
      <c r="AM12" s="360">
        <f t="shared" si="22"/>
        <v>7.9379999999999992E-2</v>
      </c>
      <c r="AN12" s="360">
        <f t="shared" si="23"/>
        <v>3.3088540350834994E-3</v>
      </c>
      <c r="AO12" s="360">
        <f t="shared" si="24"/>
        <v>7.3499999999999998E-4</v>
      </c>
      <c r="AP12" s="360">
        <f t="shared" si="25"/>
        <v>0.34650000000000003</v>
      </c>
      <c r="AQ12" s="360">
        <f t="shared" si="26"/>
        <v>1.3167</v>
      </c>
      <c r="AR12" s="360">
        <f t="shared" si="27"/>
        <v>1.1088</v>
      </c>
      <c r="AS12" s="360">
        <f t="shared" si="28"/>
        <v>0.34723500000000002</v>
      </c>
      <c r="AT12" s="360">
        <f t="shared" si="29"/>
        <v>1.320642853779779</v>
      </c>
      <c r="AU12">
        <f t="shared" si="30"/>
        <v>0.39599999999999996</v>
      </c>
      <c r="AV12" s="542">
        <f t="shared" si="47"/>
        <v>0.23068281158662091</v>
      </c>
      <c r="AW12" s="551">
        <f t="shared" si="31"/>
        <v>30.62885289665185</v>
      </c>
      <c r="AX12" s="551">
        <f t="shared" si="32"/>
        <v>1.8778751341481568</v>
      </c>
      <c r="AY12" s="9"/>
      <c r="AZ12" s="4">
        <f t="shared" si="48"/>
        <v>23.068281158662092</v>
      </c>
      <c r="BA12" s="360">
        <f t="shared" si="33"/>
        <v>0.30169435752123158</v>
      </c>
      <c r="BB12" s="360">
        <f t="shared" si="34"/>
        <v>0.6627886246211464</v>
      </c>
      <c r="BC12" s="360">
        <f t="shared" si="35"/>
        <v>0.61257705793303696</v>
      </c>
      <c r="BD12" s="360">
        <f t="shared" si="36"/>
        <v>4.9417766688109391E-2</v>
      </c>
      <c r="BE12" s="360">
        <f t="shared" si="37"/>
        <v>3.3088540350834994E-3</v>
      </c>
      <c r="BJ12" s="18"/>
      <c r="BK12" s="18"/>
      <c r="BL12" s="18"/>
      <c r="BM12" s="19"/>
    </row>
    <row r="13" spans="1:65" x14ac:dyDescent="0.2">
      <c r="A13" s="22" t="s">
        <v>6</v>
      </c>
      <c r="B13" s="5">
        <f>Fsw/1000</f>
        <v>2100</v>
      </c>
      <c r="C13" s="440" t="s">
        <v>2</v>
      </c>
      <c r="D13" s="21" t="s">
        <v>94</v>
      </c>
      <c r="G13">
        <v>4</v>
      </c>
      <c r="H13" s="548">
        <f t="shared" si="0"/>
        <v>21</v>
      </c>
      <c r="I13" s="4">
        <f t="shared" si="1"/>
        <v>1</v>
      </c>
      <c r="J13" s="360">
        <f t="shared" si="38"/>
        <v>0.16</v>
      </c>
      <c r="K13" s="360">
        <f t="shared" si="2"/>
        <v>0.16</v>
      </c>
      <c r="L13" s="4">
        <f t="shared" si="3"/>
        <v>2.7936507936507933E-2</v>
      </c>
      <c r="M13" s="360">
        <f t="shared" si="4"/>
        <v>0.15726840194580841</v>
      </c>
      <c r="N13" s="4">
        <f t="shared" si="5"/>
        <v>1.9491414019981679</v>
      </c>
      <c r="O13" s="4">
        <f t="shared" si="39"/>
        <v>1.134570700999084</v>
      </c>
      <c r="P13" s="4">
        <f t="shared" si="40"/>
        <v>-0.81457070099908391</v>
      </c>
      <c r="Q13" s="4">
        <f t="shared" si="6"/>
        <v>8.5161599686260736</v>
      </c>
      <c r="R13" s="4">
        <f t="shared" si="41"/>
        <v>0.58497522775067035</v>
      </c>
      <c r="S13" s="360">
        <f t="shared" si="7"/>
        <v>1.7109800854097433E-3</v>
      </c>
      <c r="T13" s="360">
        <f t="shared" si="8"/>
        <v>0.3</v>
      </c>
      <c r="U13" s="360">
        <f t="shared" si="9"/>
        <v>0.30175228345722754</v>
      </c>
      <c r="V13" s="4">
        <f t="shared" si="42"/>
        <v>0.5626686565661434</v>
      </c>
      <c r="W13" s="360">
        <f t="shared" si="10"/>
        <v>6.3319203416389728E-4</v>
      </c>
      <c r="X13" s="360">
        <f t="shared" si="43"/>
        <v>6.3319203416389728E-4</v>
      </c>
      <c r="Y13" s="4">
        <f t="shared" si="44"/>
        <v>0.21296236008706909</v>
      </c>
      <c r="Z13" s="360">
        <f t="shared" si="11"/>
        <v>4.5352966813854482E-5</v>
      </c>
      <c r="AA13" s="541">
        <f t="shared" si="45"/>
        <v>4.5352966813854482E-5</v>
      </c>
      <c r="AB13" s="360">
        <f t="shared" si="46"/>
        <v>0.23198409591758359</v>
      </c>
      <c r="AC13" s="360">
        <f t="shared" si="12"/>
        <v>3.2289972455219176E-4</v>
      </c>
      <c r="AD13" s="360">
        <f t="shared" si="13"/>
        <v>1.2501016075172787E-2</v>
      </c>
      <c r="AE13" s="360">
        <f t="shared" si="14"/>
        <v>0.54315136091381611</v>
      </c>
      <c r="AF13" s="360">
        <f t="shared" si="15"/>
        <v>1.6763865026561145E-2</v>
      </c>
      <c r="AG13" s="360">
        <f t="shared" si="16"/>
        <v>0.57277613159112639</v>
      </c>
      <c r="AH13" s="360">
        <f t="shared" si="17"/>
        <v>0.53700967991578141</v>
      </c>
      <c r="AI13" s="360">
        <f t="shared" si="18"/>
        <v>7.2094849080812495E-4</v>
      </c>
      <c r="AJ13" s="360">
        <f t="shared" si="19"/>
        <v>2.3349465026561145E-2</v>
      </c>
      <c r="AK13" s="360">
        <f t="shared" si="20"/>
        <v>2.4073051542756463E-2</v>
      </c>
      <c r="AL13" s="360">
        <f t="shared" si="21"/>
        <v>6.5855999999999996E-3</v>
      </c>
      <c r="AM13" s="360">
        <f t="shared" si="22"/>
        <v>0.10584</v>
      </c>
      <c r="AN13" s="360">
        <f t="shared" si="23"/>
        <v>3.4219601708194865E-3</v>
      </c>
      <c r="AO13" s="360">
        <f t="shared" si="24"/>
        <v>7.3499999999999998E-4</v>
      </c>
      <c r="AP13" s="360">
        <f t="shared" si="25"/>
        <v>0.34650000000000003</v>
      </c>
      <c r="AQ13" s="360">
        <f t="shared" si="26"/>
        <v>1.3167</v>
      </c>
      <c r="AR13" s="360">
        <f t="shared" si="27"/>
        <v>1.1088</v>
      </c>
      <c r="AS13" s="360">
        <f t="shared" si="28"/>
        <v>0.34723500000000002</v>
      </c>
      <c r="AT13" s="360">
        <f t="shared" si="29"/>
        <v>1.3623625717629075</v>
      </c>
      <c r="AU13">
        <f t="shared" si="30"/>
        <v>0.52800000000000002</v>
      </c>
      <c r="AV13" s="542">
        <f t="shared" si="47"/>
        <v>0.27931149711010184</v>
      </c>
      <c r="AW13" s="551">
        <f t="shared" si="31"/>
        <v>32.131526579556322</v>
      </c>
      <c r="AX13" s="551">
        <f t="shared" si="32"/>
        <v>2.2420095586247459</v>
      </c>
      <c r="AY13" s="9"/>
      <c r="AZ13" s="4">
        <f t="shared" si="48"/>
        <v>27.931149711010185</v>
      </c>
      <c r="BA13" s="360">
        <f t="shared" si="33"/>
        <v>0.30175228345722754</v>
      </c>
      <c r="BB13" s="360">
        <f t="shared" si="34"/>
        <v>0.70268918313388296</v>
      </c>
      <c r="BC13" s="360">
        <f t="shared" si="35"/>
        <v>0.64263053159112637</v>
      </c>
      <c r="BD13" s="360">
        <f t="shared" si="36"/>
        <v>5.9000251542756468E-2</v>
      </c>
      <c r="BE13" s="360">
        <f t="shared" si="37"/>
        <v>3.4219601708194865E-3</v>
      </c>
      <c r="BJ13" s="18"/>
      <c r="BK13" s="18"/>
      <c r="BL13" s="18"/>
      <c r="BM13" s="19"/>
    </row>
    <row r="14" spans="1:65" x14ac:dyDescent="0.2">
      <c r="A14" s="22" t="s">
        <v>5</v>
      </c>
      <c r="B14" s="5">
        <f>Iout</f>
        <v>4</v>
      </c>
      <c r="C14" s="440" t="s">
        <v>1</v>
      </c>
      <c r="D14" s="21" t="s">
        <v>95</v>
      </c>
      <c r="G14">
        <v>5</v>
      </c>
      <c r="H14" s="548">
        <f t="shared" si="0"/>
        <v>21</v>
      </c>
      <c r="I14" s="4">
        <f t="shared" si="1"/>
        <v>1</v>
      </c>
      <c r="J14" s="360">
        <f t="shared" si="38"/>
        <v>0.2</v>
      </c>
      <c r="K14" s="360">
        <f t="shared" si="2"/>
        <v>0.2</v>
      </c>
      <c r="L14" s="4">
        <f t="shared" si="3"/>
        <v>3.4920634920634921E-2</v>
      </c>
      <c r="M14" s="360">
        <f t="shared" si="4"/>
        <v>0.15729978620371118</v>
      </c>
      <c r="N14" s="4">
        <f t="shared" si="5"/>
        <v>1.9494819021540895</v>
      </c>
      <c r="O14" s="4">
        <f t="shared" si="39"/>
        <v>1.1747409510770448</v>
      </c>
      <c r="P14" s="4">
        <f t="shared" si="40"/>
        <v>-0.77474095107704466</v>
      </c>
      <c r="Q14" s="4">
        <f t="shared" si="6"/>
        <v>8.0997485737275969</v>
      </c>
      <c r="R14" s="4">
        <f t="shared" si="41"/>
        <v>0.59724922818607362</v>
      </c>
      <c r="S14" s="360">
        <f t="shared" si="7"/>
        <v>1.7835332028443033E-3</v>
      </c>
      <c r="T14" s="360">
        <f t="shared" si="8"/>
        <v>0.3</v>
      </c>
      <c r="U14" s="360">
        <f t="shared" si="9"/>
        <v>0.30182659862365602</v>
      </c>
      <c r="V14" s="4">
        <f t="shared" si="42"/>
        <v>0.56276695049448366</v>
      </c>
      <c r="W14" s="360">
        <f t="shared" si="10"/>
        <v>6.3341328113772127E-4</v>
      </c>
      <c r="X14" s="360">
        <f t="shared" si="43"/>
        <v>6.3341328113772127E-4</v>
      </c>
      <c r="Y14" s="4">
        <f t="shared" si="44"/>
        <v>0.21744839948500089</v>
      </c>
      <c r="Z14" s="360">
        <f t="shared" si="11"/>
        <v>4.728380643858853E-5</v>
      </c>
      <c r="AA14" s="541">
        <f t="shared" si="45"/>
        <v>4.728380643858853E-5</v>
      </c>
      <c r="AB14" s="360">
        <f t="shared" si="46"/>
        <v>0.23687523783402484</v>
      </c>
      <c r="AC14" s="360">
        <f t="shared" si="12"/>
        <v>3.3665926979355501E-4</v>
      </c>
      <c r="AD14" s="360">
        <f t="shared" si="13"/>
        <v>1.5626270093965985E-2</v>
      </c>
      <c r="AE14" s="360">
        <f t="shared" si="14"/>
        <v>0.5528814580946716</v>
      </c>
      <c r="AF14" s="360">
        <f t="shared" si="15"/>
        <v>1.5944168773165575E-2</v>
      </c>
      <c r="AG14" s="360">
        <f t="shared" si="16"/>
        <v>0.58482793378062503</v>
      </c>
      <c r="AH14" s="360">
        <f t="shared" si="17"/>
        <v>0.5482670537885117</v>
      </c>
      <c r="AI14" s="360">
        <f t="shared" si="18"/>
        <v>7.5149190567483707E-4</v>
      </c>
      <c r="AJ14" s="360">
        <f t="shared" si="19"/>
        <v>2.4176168773165578E-2</v>
      </c>
      <c r="AK14" s="360">
        <f t="shared" si="20"/>
        <v>2.4930508410282166E-2</v>
      </c>
      <c r="AL14" s="360">
        <f t="shared" si="21"/>
        <v>8.2319999999999997E-3</v>
      </c>
      <c r="AM14" s="360">
        <f t="shared" si="22"/>
        <v>0.1323</v>
      </c>
      <c r="AN14" s="360">
        <f t="shared" si="23"/>
        <v>3.5670664056886067E-3</v>
      </c>
      <c r="AO14" s="360">
        <f t="shared" si="24"/>
        <v>7.3499999999999998E-4</v>
      </c>
      <c r="AP14" s="360">
        <f t="shared" si="25"/>
        <v>0.34650000000000003</v>
      </c>
      <c r="AQ14" s="360">
        <f t="shared" si="26"/>
        <v>1.3167</v>
      </c>
      <c r="AR14" s="360">
        <f t="shared" si="27"/>
        <v>1.1088</v>
      </c>
      <c r="AS14" s="360">
        <f t="shared" si="28"/>
        <v>0.34723500000000002</v>
      </c>
      <c r="AT14" s="360">
        <f t="shared" si="29"/>
        <v>1.4035998043078282</v>
      </c>
      <c r="AU14">
        <f t="shared" si="30"/>
        <v>0.66</v>
      </c>
      <c r="AV14" s="542">
        <f t="shared" si="47"/>
        <v>0.31982945463661588</v>
      </c>
      <c r="AW14" s="551">
        <f t="shared" si="31"/>
        <v>33.607296689031251</v>
      </c>
      <c r="AX14" s="551">
        <f t="shared" si="32"/>
        <v>2.6064013195907223</v>
      </c>
      <c r="AY14" s="9"/>
      <c r="AZ14" s="4">
        <f t="shared" si="48"/>
        <v>31.98294546366159</v>
      </c>
      <c r="BA14" s="360">
        <f t="shared" si="33"/>
        <v>0.30182659862365602</v>
      </c>
      <c r="BB14" s="360">
        <f t="shared" si="34"/>
        <v>0.74205844219090722</v>
      </c>
      <c r="BC14" s="360">
        <f t="shared" si="35"/>
        <v>0.67214593378062504</v>
      </c>
      <c r="BD14" s="360">
        <f t="shared" si="36"/>
        <v>6.8589508410282163E-2</v>
      </c>
      <c r="BE14" s="360">
        <f t="shared" si="37"/>
        <v>3.5670664056886067E-3</v>
      </c>
      <c r="BJ14" s="18"/>
      <c r="BK14" s="18"/>
      <c r="BL14" s="18"/>
      <c r="BM14" s="19"/>
    </row>
    <row r="15" spans="1:65" x14ac:dyDescent="0.2">
      <c r="A15" s="23" t="s">
        <v>83</v>
      </c>
      <c r="B15" s="5">
        <f>Ta</f>
        <v>25</v>
      </c>
      <c r="C15" s="440" t="s">
        <v>465</v>
      </c>
      <c r="D15" s="21" t="s">
        <v>96</v>
      </c>
      <c r="G15">
        <v>6</v>
      </c>
      <c r="H15" s="548">
        <f t="shared" si="0"/>
        <v>21</v>
      </c>
      <c r="I15" s="4">
        <f t="shared" si="1"/>
        <v>1</v>
      </c>
      <c r="J15" s="360">
        <f t="shared" si="38"/>
        <v>0.24</v>
      </c>
      <c r="K15" s="360">
        <f t="shared" si="2"/>
        <v>0.24</v>
      </c>
      <c r="L15" s="4">
        <f t="shared" si="3"/>
        <v>4.1904761904761896E-2</v>
      </c>
      <c r="M15" s="360">
        <f t="shared" si="4"/>
        <v>0.1573311696845377</v>
      </c>
      <c r="N15" s="4">
        <f t="shared" si="5"/>
        <v>1.9498223733391804</v>
      </c>
      <c r="O15" s="4">
        <f t="shared" si="39"/>
        <v>1.2149111866695903</v>
      </c>
      <c r="P15" s="4">
        <f t="shared" si="40"/>
        <v>-0.73491118666959021</v>
      </c>
      <c r="Q15" s="4">
        <f t="shared" si="6"/>
        <v>7.6833370273872488</v>
      </c>
      <c r="R15" s="4">
        <f t="shared" si="41"/>
        <v>0.61189645689814454</v>
      </c>
      <c r="S15" s="360">
        <f t="shared" si="7"/>
        <v>1.8720863698225144E-3</v>
      </c>
      <c r="T15" s="360">
        <f t="shared" si="8"/>
        <v>0.3</v>
      </c>
      <c r="U15" s="360">
        <f t="shared" si="9"/>
        <v>0.30191730359133184</v>
      </c>
      <c r="V15" s="4">
        <f t="shared" si="42"/>
        <v>0.56286523605966543</v>
      </c>
      <c r="W15" s="360">
        <f t="shared" si="10"/>
        <v>6.3363454792900577E-4</v>
      </c>
      <c r="X15" s="360">
        <f t="shared" si="43"/>
        <v>6.3363454792900577E-4</v>
      </c>
      <c r="Y15" s="4">
        <f t="shared" si="44"/>
        <v>0.22279928316563635</v>
      </c>
      <c r="Z15" s="360">
        <f t="shared" si="11"/>
        <v>4.9639520579121413E-5</v>
      </c>
      <c r="AA15" s="541">
        <f t="shared" si="45"/>
        <v>4.9639520579121413E-5</v>
      </c>
      <c r="AB15" s="360">
        <f t="shared" si="46"/>
        <v>0.24270868889047056</v>
      </c>
      <c r="AC15" s="360">
        <f t="shared" si="12"/>
        <v>3.5344504597758738E-4</v>
      </c>
      <c r="AD15" s="360">
        <f t="shared" si="13"/>
        <v>1.8751524112759179E-2</v>
      </c>
      <c r="AE15" s="360">
        <f t="shared" si="14"/>
        <v>0.56207008717962037</v>
      </c>
      <c r="AF15" s="360">
        <f t="shared" si="15"/>
        <v>1.5124472221660162E-2</v>
      </c>
      <c r="AG15" s="360">
        <f t="shared" si="16"/>
        <v>0.59634168336275606</v>
      </c>
      <c r="AH15" s="360">
        <f t="shared" si="17"/>
        <v>0.56170256034806498</v>
      </c>
      <c r="AI15" s="360">
        <f t="shared" si="18"/>
        <v>7.887744157539289E-4</v>
      </c>
      <c r="AJ15" s="360">
        <f t="shared" si="19"/>
        <v>2.5002872221660165E-2</v>
      </c>
      <c r="AK15" s="360">
        <f t="shared" si="20"/>
        <v>2.5794739264433805E-2</v>
      </c>
      <c r="AL15" s="360">
        <f t="shared" si="21"/>
        <v>9.878399999999999E-3</v>
      </c>
      <c r="AM15" s="360">
        <f t="shared" si="22"/>
        <v>0.15875999999999998</v>
      </c>
      <c r="AN15" s="360">
        <f t="shared" si="23"/>
        <v>3.7441727396450289E-3</v>
      </c>
      <c r="AO15" s="360">
        <f t="shared" si="24"/>
        <v>7.3499999999999998E-4</v>
      </c>
      <c r="AP15" s="360">
        <f t="shared" si="25"/>
        <v>0.34650000000000003</v>
      </c>
      <c r="AQ15" s="360">
        <f t="shared" si="26"/>
        <v>1.3167</v>
      </c>
      <c r="AR15" s="360">
        <f t="shared" si="27"/>
        <v>1.1088</v>
      </c>
      <c r="AS15" s="360">
        <f t="shared" si="28"/>
        <v>0.34723500000000002</v>
      </c>
      <c r="AT15" s="360">
        <f t="shared" si="29"/>
        <v>1.4443545730266747</v>
      </c>
      <c r="AU15">
        <f t="shared" si="30"/>
        <v>0.79199999999999993</v>
      </c>
      <c r="AV15" s="542">
        <f t="shared" si="47"/>
        <v>0.35414777672223502</v>
      </c>
      <c r="AW15" s="551">
        <f t="shared" si="31"/>
        <v>35.056164168137805</v>
      </c>
      <c r="AX15" s="551">
        <f t="shared" si="32"/>
        <v>2.9710504920484846</v>
      </c>
      <c r="AY15" s="9"/>
      <c r="AZ15" s="4">
        <f t="shared" si="48"/>
        <v>35.414777672223501</v>
      </c>
      <c r="BA15" s="360">
        <f t="shared" si="33"/>
        <v>0.30191730359133184</v>
      </c>
      <c r="BB15" s="360">
        <f t="shared" si="34"/>
        <v>0.78089642262718983</v>
      </c>
      <c r="BC15" s="360">
        <f t="shared" si="35"/>
        <v>0.70112328336275609</v>
      </c>
      <c r="BD15" s="360">
        <f t="shared" si="36"/>
        <v>7.8185539264433807E-2</v>
      </c>
      <c r="BE15" s="360">
        <f t="shared" si="37"/>
        <v>3.7441727396450289E-3</v>
      </c>
      <c r="BJ15" s="18"/>
      <c r="BK15" s="18"/>
      <c r="BL15" s="18"/>
      <c r="BM15" s="19"/>
    </row>
    <row r="16" spans="1:65" x14ac:dyDescent="0.2">
      <c r="A16" s="448" t="s">
        <v>476</v>
      </c>
      <c r="B16" s="5">
        <f>VCC</f>
        <v>5</v>
      </c>
      <c r="C16" s="440" t="s">
        <v>0</v>
      </c>
      <c r="D16" s="440" t="s">
        <v>475</v>
      </c>
      <c r="G16">
        <v>7</v>
      </c>
      <c r="H16" s="548">
        <f t="shared" si="0"/>
        <v>21</v>
      </c>
      <c r="I16" s="4">
        <f t="shared" si="1"/>
        <v>1</v>
      </c>
      <c r="J16" s="360">
        <f t="shared" si="38"/>
        <v>0.28000000000000003</v>
      </c>
      <c r="K16" s="360">
        <f t="shared" si="2"/>
        <v>0.28000000000000003</v>
      </c>
      <c r="L16" s="4">
        <f t="shared" si="3"/>
        <v>4.8888888888888885E-2</v>
      </c>
      <c r="M16" s="360">
        <f t="shared" si="4"/>
        <v>0.15736255238831684</v>
      </c>
      <c r="N16" s="4">
        <f t="shared" si="5"/>
        <v>1.9501628155545179</v>
      </c>
      <c r="O16" s="4">
        <f t="shared" si="39"/>
        <v>1.255081407777259</v>
      </c>
      <c r="P16" s="4">
        <f t="shared" si="40"/>
        <v>-0.69508140777725891</v>
      </c>
      <c r="Q16" s="4">
        <f t="shared" si="6"/>
        <v>7.2669253296106531</v>
      </c>
      <c r="R16" s="4">
        <f t="shared" si="41"/>
        <v>0.62875107734642788</v>
      </c>
      <c r="S16" s="360">
        <f t="shared" si="7"/>
        <v>1.9766395863214685E-3</v>
      </c>
      <c r="T16" s="360">
        <f t="shared" si="8"/>
        <v>0.3</v>
      </c>
      <c r="U16" s="360">
        <f t="shared" si="9"/>
        <v>0.30202439905697837</v>
      </c>
      <c r="V16" s="4">
        <f t="shared" si="42"/>
        <v>0.56296351326199978</v>
      </c>
      <c r="W16" s="360">
        <f t="shared" si="10"/>
        <v>6.3385583452858763E-4</v>
      </c>
      <c r="X16" s="360">
        <f t="shared" si="43"/>
        <v>6.3385583452858763E-4</v>
      </c>
      <c r="Y16" s="4">
        <f t="shared" si="44"/>
        <v>0.22895483308186332</v>
      </c>
      <c r="Z16" s="360">
        <f t="shared" si="11"/>
        <v>5.2420315591543895E-5</v>
      </c>
      <c r="AA16" s="541">
        <f t="shared" si="45"/>
        <v>5.2420315591543895E-5</v>
      </c>
      <c r="AB16" s="360">
        <f t="shared" si="46"/>
        <v>0.24941894493214944</v>
      </c>
      <c r="AC16" s="360">
        <f t="shared" si="12"/>
        <v>3.7325886054639956E-4</v>
      </c>
      <c r="AD16" s="360">
        <f t="shared" si="13"/>
        <v>2.187677813155238E-2</v>
      </c>
      <c r="AE16" s="360">
        <f t="shared" si="14"/>
        <v>0.57071724757777686</v>
      </c>
      <c r="AF16" s="360">
        <f t="shared" si="15"/>
        <v>1.4304775372055987E-2</v>
      </c>
      <c r="AG16" s="360">
        <f t="shared" si="16"/>
        <v>0.60731739726187006</v>
      </c>
      <c r="AH16" s="360">
        <f t="shared" si="17"/>
        <v>0.57716384777048113</v>
      </c>
      <c r="AI16" s="360">
        <f t="shared" si="18"/>
        <v>8.3279526793306777E-4</v>
      </c>
      <c r="AJ16" s="360">
        <f t="shared" si="19"/>
        <v>2.5829575372055987E-2</v>
      </c>
      <c r="AK16" s="360">
        <f t="shared" si="20"/>
        <v>2.6665746120281157E-2</v>
      </c>
      <c r="AL16" s="360">
        <f t="shared" si="21"/>
        <v>1.15248E-2</v>
      </c>
      <c r="AM16" s="360">
        <f t="shared" si="22"/>
        <v>0.18522000000000002</v>
      </c>
      <c r="AN16" s="360">
        <f t="shared" si="23"/>
        <v>3.9532791726429369E-3</v>
      </c>
      <c r="AO16" s="360">
        <f t="shared" si="24"/>
        <v>7.3499999999999998E-4</v>
      </c>
      <c r="AP16" s="360">
        <f t="shared" si="25"/>
        <v>0.34650000000000003</v>
      </c>
      <c r="AQ16" s="360">
        <f t="shared" si="26"/>
        <v>1.3167</v>
      </c>
      <c r="AR16" s="360">
        <f t="shared" si="27"/>
        <v>1.1088</v>
      </c>
      <c r="AS16" s="360">
        <f t="shared" si="28"/>
        <v>0.34723500000000002</v>
      </c>
      <c r="AT16" s="360">
        <f t="shared" si="29"/>
        <v>1.4846268977618926</v>
      </c>
      <c r="AU16">
        <f t="shared" si="30"/>
        <v>0.92400000000000004</v>
      </c>
      <c r="AV16" s="542">
        <f t="shared" si="47"/>
        <v>0.38362105847883088</v>
      </c>
      <c r="AW16" s="551">
        <f t="shared" si="31"/>
        <v>36.478129863093507</v>
      </c>
      <c r="AX16" s="551">
        <f t="shared" si="32"/>
        <v>3.3359571525706841</v>
      </c>
      <c r="AY16" s="9"/>
      <c r="AZ16" s="4">
        <f t="shared" si="48"/>
        <v>38.362105847883086</v>
      </c>
      <c r="BA16" s="360">
        <f t="shared" si="33"/>
        <v>0.30202439905697837</v>
      </c>
      <c r="BB16" s="360">
        <f t="shared" si="34"/>
        <v>0.81920314338215128</v>
      </c>
      <c r="BC16" s="360">
        <f t="shared" si="35"/>
        <v>0.72956259726187012</v>
      </c>
      <c r="BD16" s="360">
        <f t="shared" si="36"/>
        <v>8.7788346120281163E-2</v>
      </c>
      <c r="BE16" s="360">
        <f t="shared" si="37"/>
        <v>3.9532791726429369E-3</v>
      </c>
      <c r="BJ16" s="18"/>
      <c r="BK16" s="18"/>
      <c r="BL16" s="18"/>
      <c r="BM16" s="19"/>
    </row>
    <row r="17" spans="1:65" x14ac:dyDescent="0.2">
      <c r="A17" s="24" t="s">
        <v>58</v>
      </c>
      <c r="B17" s="16" t="s">
        <v>111</v>
      </c>
      <c r="C17" s="24" t="s">
        <v>76</v>
      </c>
      <c r="D17" s="17" t="s">
        <v>107</v>
      </c>
      <c r="G17">
        <v>8</v>
      </c>
      <c r="H17" s="548">
        <f t="shared" si="0"/>
        <v>21</v>
      </c>
      <c r="I17" s="4">
        <f t="shared" si="1"/>
        <v>1</v>
      </c>
      <c r="J17" s="360">
        <f t="shared" si="38"/>
        <v>0.32</v>
      </c>
      <c r="K17" s="360">
        <f t="shared" si="2"/>
        <v>0.32</v>
      </c>
      <c r="L17" s="4">
        <f t="shared" si="3"/>
        <v>5.5873015873015866E-2</v>
      </c>
      <c r="M17" s="360">
        <f t="shared" si="4"/>
        <v>0.15739393431507734</v>
      </c>
      <c r="N17" s="4">
        <f t="shared" si="5"/>
        <v>1.9505032288011759</v>
      </c>
      <c r="O17" s="4">
        <f t="shared" si="39"/>
        <v>1.2952516144005879</v>
      </c>
      <c r="P17" s="4">
        <f t="shared" si="40"/>
        <v>-0.65525161440058799</v>
      </c>
      <c r="Q17" s="4">
        <f t="shared" si="6"/>
        <v>6.8505134804034293</v>
      </c>
      <c r="R17" s="4">
        <f t="shared" si="41"/>
        <v>0.64764077270015286</v>
      </c>
      <c r="S17" s="360">
        <f t="shared" si="7"/>
        <v>2.0971928523182554E-3</v>
      </c>
      <c r="T17" s="360">
        <f t="shared" si="8"/>
        <v>0.3</v>
      </c>
      <c r="U17" s="360">
        <f t="shared" si="9"/>
        <v>0.30214788584324093</v>
      </c>
      <c r="V17" s="4">
        <f t="shared" si="42"/>
        <v>0.56306178210179658</v>
      </c>
      <c r="W17" s="360">
        <f t="shared" si="10"/>
        <v>6.3407714092730209E-4</v>
      </c>
      <c r="X17" s="360">
        <f t="shared" si="43"/>
        <v>6.3407714092730209E-4</v>
      </c>
      <c r="Y17" s="4">
        <f t="shared" si="44"/>
        <v>0.23585249157877089</v>
      </c>
      <c r="Z17" s="360">
        <f t="shared" si="11"/>
        <v>5.5626397783914192E-5</v>
      </c>
      <c r="AA17" s="541">
        <f t="shared" si="45"/>
        <v>5.5626397783914192E-5</v>
      </c>
      <c r="AB17" s="360">
        <f t="shared" si="46"/>
        <v>0.25693790457767385</v>
      </c>
      <c r="AC17" s="360">
        <f t="shared" si="12"/>
        <v>3.9610252085259501E-4</v>
      </c>
      <c r="AD17" s="360">
        <f t="shared" si="13"/>
        <v>2.5002032150345573E-2</v>
      </c>
      <c r="AE17" s="360">
        <f t="shared" si="14"/>
        <v>0.57882293869828449</v>
      </c>
      <c r="AF17" s="360">
        <f t="shared" si="15"/>
        <v>1.3485078224364101E-2</v>
      </c>
      <c r="AG17" s="360">
        <f t="shared" si="16"/>
        <v>0.61775509046356725</v>
      </c>
      <c r="AH17" s="360">
        <f t="shared" si="17"/>
        <v>0.594492627082023</v>
      </c>
      <c r="AI17" s="360">
        <f t="shared" si="18"/>
        <v>8.8355370913721306E-4</v>
      </c>
      <c r="AJ17" s="360">
        <f t="shared" si="19"/>
        <v>2.6656278224364095E-2</v>
      </c>
      <c r="AK17" s="360">
        <f t="shared" si="20"/>
        <v>2.7543531034230531E-2</v>
      </c>
      <c r="AL17" s="360">
        <f t="shared" si="21"/>
        <v>1.3171199999999999E-2</v>
      </c>
      <c r="AM17" s="360">
        <f t="shared" si="22"/>
        <v>0.21168000000000001</v>
      </c>
      <c r="AN17" s="360">
        <f t="shared" si="23"/>
        <v>4.1943857046365107E-3</v>
      </c>
      <c r="AO17" s="360">
        <f t="shared" si="24"/>
        <v>7.3499999999999998E-4</v>
      </c>
      <c r="AP17" s="360">
        <f t="shared" si="25"/>
        <v>0.34650000000000003</v>
      </c>
      <c r="AQ17" s="360">
        <f t="shared" si="26"/>
        <v>1.3167</v>
      </c>
      <c r="AR17" s="360">
        <f t="shared" si="27"/>
        <v>1.1088</v>
      </c>
      <c r="AS17" s="360">
        <f t="shared" si="28"/>
        <v>0.34723500000000002</v>
      </c>
      <c r="AT17" s="360">
        <f t="shared" si="29"/>
        <v>1.5244167965843864</v>
      </c>
      <c r="AU17">
        <f t="shared" si="30"/>
        <v>1.056</v>
      </c>
      <c r="AV17" s="542">
        <f t="shared" si="47"/>
        <v>0.40923621385420866</v>
      </c>
      <c r="AW17" s="551">
        <f t="shared" si="31"/>
        <v>37.87319452317837</v>
      </c>
      <c r="AX17" s="551">
        <f t="shared" si="32"/>
        <v>3.7011213793007607</v>
      </c>
      <c r="AY17" s="9"/>
      <c r="AZ17" s="4">
        <f t="shared" si="48"/>
        <v>40.923621385420866</v>
      </c>
      <c r="BA17" s="360">
        <f t="shared" si="33"/>
        <v>0.30214788584324093</v>
      </c>
      <c r="BB17" s="360">
        <f t="shared" si="34"/>
        <v>0.8569786214977978</v>
      </c>
      <c r="BC17" s="360">
        <f t="shared" si="35"/>
        <v>0.75746389046356732</v>
      </c>
      <c r="BD17" s="360">
        <f t="shared" si="36"/>
        <v>9.7397931034230542E-2</v>
      </c>
      <c r="BE17" s="360">
        <f t="shared" si="37"/>
        <v>4.1943857046365107E-3</v>
      </c>
      <c r="BJ17" s="18"/>
      <c r="BK17" s="18"/>
      <c r="BL17" s="18"/>
      <c r="BM17" s="19"/>
    </row>
    <row r="18" spans="1:65" x14ac:dyDescent="0.2">
      <c r="A18" s="35" t="s">
        <v>56</v>
      </c>
      <c r="B18" s="38">
        <f>Lf*1000000</f>
        <v>0.68</v>
      </c>
      <c r="C18" s="441" t="s">
        <v>10</v>
      </c>
      <c r="D18" s="440" t="s">
        <v>468</v>
      </c>
      <c r="G18">
        <v>9</v>
      </c>
      <c r="H18" s="548">
        <f t="shared" si="0"/>
        <v>21</v>
      </c>
      <c r="I18" s="4">
        <f t="shared" si="1"/>
        <v>1</v>
      </c>
      <c r="J18" s="360">
        <f t="shared" si="38"/>
        <v>0.36</v>
      </c>
      <c r="K18" s="360">
        <f t="shared" si="2"/>
        <v>0.36</v>
      </c>
      <c r="L18" s="4">
        <f t="shared" si="3"/>
        <v>6.2857142857142848E-2</v>
      </c>
      <c r="M18" s="360">
        <f t="shared" si="4"/>
        <v>0.1574253154648482</v>
      </c>
      <c r="N18" s="4">
        <f t="shared" si="5"/>
        <v>1.9508436130802325</v>
      </c>
      <c r="O18" s="4">
        <f t="shared" si="39"/>
        <v>1.3354218065401162</v>
      </c>
      <c r="P18" s="4">
        <f t="shared" si="40"/>
        <v>-0.61542180654011625</v>
      </c>
      <c r="Q18" s="4">
        <f t="shared" si="6"/>
        <v>6.4341014797712104</v>
      </c>
      <c r="R18" s="4">
        <f t="shared" si="41"/>
        <v>0.66839302327148409</v>
      </c>
      <c r="S18" s="360">
        <f t="shared" si="7"/>
        <v>2.2337461677899733E-3</v>
      </c>
      <c r="T18" s="360">
        <f t="shared" si="8"/>
        <v>0.3</v>
      </c>
      <c r="U18" s="360">
        <f t="shared" si="9"/>
        <v>0.30228776489870296</v>
      </c>
      <c r="V18" s="4">
        <f t="shared" si="42"/>
        <v>0.56316004257936725</v>
      </c>
      <c r="W18" s="360">
        <f t="shared" si="10"/>
        <v>6.3429846711598949E-4</v>
      </c>
      <c r="X18" s="360">
        <f t="shared" si="43"/>
        <v>6.3429846711598949E-4</v>
      </c>
      <c r="Y18" s="4">
        <f t="shared" si="44"/>
        <v>0.24342960669619357</v>
      </c>
      <c r="Z18" s="360">
        <f t="shared" si="11"/>
        <v>5.9257973416263487E-5</v>
      </c>
      <c r="AA18" s="541">
        <f t="shared" si="45"/>
        <v>5.9257973416263487E-5</v>
      </c>
      <c r="AB18" s="360">
        <f t="shared" si="46"/>
        <v>0.26519735863418109</v>
      </c>
      <c r="AC18" s="360">
        <f t="shared" si="12"/>
        <v>4.2197783415927874E-4</v>
      </c>
      <c r="AD18" s="360">
        <f t="shared" si="13"/>
        <v>2.812728616913877E-2</v>
      </c>
      <c r="AE18" s="360">
        <f t="shared" si="14"/>
        <v>0.58638715995031554</v>
      </c>
      <c r="AF18" s="360">
        <f t="shared" si="15"/>
        <v>1.2665380778595593E-2</v>
      </c>
      <c r="AG18" s="360">
        <f t="shared" si="16"/>
        <v>0.6276547760128055</v>
      </c>
      <c r="AH18" s="360">
        <f t="shared" si="17"/>
        <v>0.61353043488603576</v>
      </c>
      <c r="AI18" s="360">
        <f t="shared" si="18"/>
        <v>9.4104898632862044E-4</v>
      </c>
      <c r="AJ18" s="360">
        <f t="shared" si="19"/>
        <v>2.7482980778595588E-2</v>
      </c>
      <c r="AK18" s="360">
        <f t="shared" si="20"/>
        <v>2.8428096104039544E-2</v>
      </c>
      <c r="AL18" s="360">
        <f t="shared" si="21"/>
        <v>1.4817599999999998E-2</v>
      </c>
      <c r="AM18" s="360">
        <f t="shared" si="22"/>
        <v>0.23813999999999999</v>
      </c>
      <c r="AN18" s="360">
        <f t="shared" si="23"/>
        <v>4.4674923355799466E-3</v>
      </c>
      <c r="AO18" s="360">
        <f t="shared" si="24"/>
        <v>7.3499999999999998E-4</v>
      </c>
      <c r="AP18" s="360">
        <f t="shared" si="25"/>
        <v>0.34650000000000003</v>
      </c>
      <c r="AQ18" s="360">
        <f t="shared" si="26"/>
        <v>1.3167</v>
      </c>
      <c r="AR18" s="360">
        <f t="shared" si="27"/>
        <v>1.1088</v>
      </c>
      <c r="AS18" s="360">
        <f t="shared" si="28"/>
        <v>0.34723500000000002</v>
      </c>
      <c r="AT18" s="360">
        <f t="shared" si="29"/>
        <v>1.56372428579166</v>
      </c>
      <c r="AU18">
        <f t="shared" si="30"/>
        <v>1.1879999999999999</v>
      </c>
      <c r="AV18" s="542">
        <f t="shared" si="47"/>
        <v>0.43172930010980992</v>
      </c>
      <c r="AW18" s="551">
        <f t="shared" si="31"/>
        <v>39.241358800640278</v>
      </c>
      <c r="AX18" s="551">
        <f t="shared" si="32"/>
        <v>4.0665432519535027</v>
      </c>
      <c r="AY18" s="9"/>
      <c r="AZ18" s="4">
        <f t="shared" si="48"/>
        <v>43.172930010980991</v>
      </c>
      <c r="BA18" s="360">
        <f t="shared" si="33"/>
        <v>0.30228776489870296</v>
      </c>
      <c r="BB18" s="360">
        <f t="shared" si="34"/>
        <v>0.89422287211684504</v>
      </c>
      <c r="BC18" s="360">
        <f t="shared" si="35"/>
        <v>0.78482717601280549</v>
      </c>
      <c r="BD18" s="360">
        <f t="shared" si="36"/>
        <v>0.10701429610403954</v>
      </c>
      <c r="BE18" s="360">
        <f t="shared" si="37"/>
        <v>4.4674923355799466E-3</v>
      </c>
      <c r="BK18" s="18"/>
      <c r="BL18" s="19"/>
    </row>
    <row r="19" spans="1:65" x14ac:dyDescent="0.2">
      <c r="A19" s="35" t="s">
        <v>11</v>
      </c>
      <c r="B19" s="39">
        <f>Rdcr*1000</f>
        <v>5</v>
      </c>
      <c r="C19" s="442" t="s">
        <v>466</v>
      </c>
      <c r="D19" s="440" t="s">
        <v>469</v>
      </c>
      <c r="G19">
        <v>10</v>
      </c>
      <c r="H19" s="548">
        <f t="shared" si="0"/>
        <v>21</v>
      </c>
      <c r="I19" s="4">
        <f t="shared" si="1"/>
        <v>1</v>
      </c>
      <c r="J19" s="360">
        <f t="shared" si="38"/>
        <v>0.4</v>
      </c>
      <c r="K19" s="360">
        <f t="shared" si="2"/>
        <v>0.4</v>
      </c>
      <c r="L19" s="4">
        <f t="shared" si="3"/>
        <v>6.9841269841269843E-2</v>
      </c>
      <c r="M19" s="360">
        <f t="shared" si="4"/>
        <v>0.15745669583765817</v>
      </c>
      <c r="N19" s="4">
        <f t="shared" si="5"/>
        <v>1.9511839683927614</v>
      </c>
      <c r="O19" s="4">
        <f t="shared" si="39"/>
        <v>1.3755919841963808</v>
      </c>
      <c r="P19" s="4">
        <f t="shared" si="40"/>
        <v>-0.57559198419638069</v>
      </c>
      <c r="Q19" s="4">
        <f t="shared" si="6"/>
        <v>6.0176893277196095</v>
      </c>
      <c r="R19" s="4">
        <f t="shared" si="41"/>
        <v>0.69084000068231699</v>
      </c>
      <c r="S19" s="360">
        <f t="shared" si="7"/>
        <v>2.3862995327137188E-3</v>
      </c>
      <c r="T19" s="360">
        <f t="shared" si="8"/>
        <v>0.3</v>
      </c>
      <c r="U19" s="360">
        <f t="shared" si="9"/>
        <v>0.30244403729790381</v>
      </c>
      <c r="V19" s="4">
        <f t="shared" si="42"/>
        <v>0.56325829469502153</v>
      </c>
      <c r="W19" s="360">
        <f t="shared" si="10"/>
        <v>6.3451981308548745E-4</v>
      </c>
      <c r="X19" s="360">
        <f t="shared" si="43"/>
        <v>6.3451981308548745E-4</v>
      </c>
      <c r="Y19" s="4">
        <f t="shared" si="44"/>
        <v>0.25162521475520072</v>
      </c>
      <c r="Z19" s="360">
        <f t="shared" si="11"/>
        <v>6.3315248700600884E-5</v>
      </c>
      <c r="AA19" s="541">
        <f t="shared" si="45"/>
        <v>6.3315248700600884E-5</v>
      </c>
      <c r="AB19" s="360">
        <f t="shared" si="46"/>
        <v>0.27413093211093487</v>
      </c>
      <c r="AC19" s="360">
        <f t="shared" si="12"/>
        <v>4.5088660764005986E-4</v>
      </c>
      <c r="AD19" s="360">
        <f t="shared" si="13"/>
        <v>3.1252540187931971E-2</v>
      </c>
      <c r="AE19" s="360">
        <f t="shared" si="14"/>
        <v>0.5934099107430717</v>
      </c>
      <c r="AF19" s="360">
        <f t="shared" si="15"/>
        <v>1.1845683034761512E-2</v>
      </c>
      <c r="AG19" s="360">
        <f t="shared" si="16"/>
        <v>0.63701646501198927</v>
      </c>
      <c r="AH19" s="360">
        <f t="shared" si="17"/>
        <v>0.63412312574352137</v>
      </c>
      <c r="AI19" s="360">
        <f t="shared" si="18"/>
        <v>1.0052803465068346E-3</v>
      </c>
      <c r="AJ19" s="360">
        <f t="shared" si="19"/>
        <v>2.8309683034761515E-2</v>
      </c>
      <c r="AK19" s="360">
        <f t="shared" si="20"/>
        <v>2.931944346883239E-2</v>
      </c>
      <c r="AL19" s="360">
        <f t="shared" si="21"/>
        <v>1.6463999999999999E-2</v>
      </c>
      <c r="AM19" s="360">
        <f t="shared" si="22"/>
        <v>0.2646</v>
      </c>
      <c r="AN19" s="360">
        <f t="shared" si="23"/>
        <v>4.7725990654274375E-3</v>
      </c>
      <c r="AO19" s="360">
        <f t="shared" si="24"/>
        <v>7.3499999999999998E-4</v>
      </c>
      <c r="AP19" s="360">
        <f t="shared" si="25"/>
        <v>0.34650000000000003</v>
      </c>
      <c r="AQ19" s="360">
        <f t="shared" si="26"/>
        <v>1.3167</v>
      </c>
      <c r="AR19" s="360">
        <f t="shared" si="27"/>
        <v>1.1088</v>
      </c>
      <c r="AS19" s="360">
        <f t="shared" si="28"/>
        <v>0.34723500000000002</v>
      </c>
      <c r="AT19" s="360">
        <f t="shared" si="29"/>
        <v>1.6025493799059392</v>
      </c>
      <c r="AU19">
        <f t="shared" si="30"/>
        <v>1.32</v>
      </c>
      <c r="AV19" s="542">
        <f t="shared" si="47"/>
        <v>0.4516604609234981</v>
      </c>
      <c r="AW19" s="551">
        <f t="shared" si="31"/>
        <v>40.582623250599461</v>
      </c>
      <c r="AX19" s="551">
        <f t="shared" si="32"/>
        <v>4.4322228518156308</v>
      </c>
      <c r="AY19" s="9"/>
      <c r="AZ19" s="4">
        <f t="shared" si="48"/>
        <v>45.166046092349809</v>
      </c>
      <c r="BA19" s="360">
        <f t="shared" si="33"/>
        <v>0.30244403729790381</v>
      </c>
      <c r="BB19" s="360">
        <f t="shared" si="34"/>
        <v>0.93093590848082175</v>
      </c>
      <c r="BC19" s="360">
        <f t="shared" si="35"/>
        <v>0.81165246501198929</v>
      </c>
      <c r="BD19" s="360">
        <f t="shared" si="36"/>
        <v>0.1166374434688324</v>
      </c>
      <c r="BE19" s="360">
        <f t="shared" si="37"/>
        <v>4.7725990654274375E-3</v>
      </c>
      <c r="BK19" s="18"/>
      <c r="BL19" s="19"/>
    </row>
    <row r="20" spans="1:65" x14ac:dyDescent="0.2">
      <c r="A20" s="35" t="s">
        <v>82</v>
      </c>
      <c r="B20" s="39">
        <f>Ltc*1000000</f>
        <v>4000</v>
      </c>
      <c r="C20" s="441" t="s">
        <v>81</v>
      </c>
      <c r="D20" s="21" t="s">
        <v>97</v>
      </c>
      <c r="G20">
        <v>11</v>
      </c>
      <c r="H20" s="548">
        <f t="shared" si="0"/>
        <v>21</v>
      </c>
      <c r="I20" s="4">
        <f t="shared" si="1"/>
        <v>1</v>
      </c>
      <c r="J20" s="360">
        <f t="shared" si="38"/>
        <v>0.44</v>
      </c>
      <c r="K20" s="360">
        <f t="shared" si="2"/>
        <v>0.44</v>
      </c>
      <c r="L20" s="4">
        <f t="shared" si="3"/>
        <v>7.6825396825396811E-2</v>
      </c>
      <c r="M20" s="360">
        <f t="shared" si="4"/>
        <v>0.15748807543353618</v>
      </c>
      <c r="N20" s="4">
        <f t="shared" si="5"/>
        <v>1.9515242947398399</v>
      </c>
      <c r="O20" s="4">
        <f t="shared" si="39"/>
        <v>1.41576214736992</v>
      </c>
      <c r="P20" s="4">
        <f t="shared" si="40"/>
        <v>-0.53576214736991989</v>
      </c>
      <c r="Q20" s="4">
        <f t="shared" si="6"/>
        <v>5.6012770242542604</v>
      </c>
      <c r="R20" s="4">
        <f t="shared" si="41"/>
        <v>0.71482206835919604</v>
      </c>
      <c r="S20" s="360">
        <f t="shared" si="7"/>
        <v>2.554852947066596E-3</v>
      </c>
      <c r="T20" s="360">
        <f t="shared" si="8"/>
        <v>0.3</v>
      </c>
      <c r="U20" s="360">
        <f t="shared" si="9"/>
        <v>0.30261670424135956</v>
      </c>
      <c r="V20" s="4">
        <f t="shared" si="42"/>
        <v>0.56335653844907063</v>
      </c>
      <c r="W20" s="360">
        <f t="shared" si="10"/>
        <v>6.3474117882663837E-4</v>
      </c>
      <c r="X20" s="360">
        <f t="shared" si="43"/>
        <v>6.3474117882663837E-4</v>
      </c>
      <c r="Y20" s="4">
        <f t="shared" si="44"/>
        <v>0.26038131615175303</v>
      </c>
      <c r="Z20" s="360">
        <f t="shared" si="11"/>
        <v>6.7798429800919156E-5</v>
      </c>
      <c r="AA20" s="541">
        <f t="shared" si="45"/>
        <v>6.7798429800919156E-5</v>
      </c>
      <c r="AB20" s="360">
        <f t="shared" si="46"/>
        <v>0.28367547431853052</v>
      </c>
      <c r="AC20" s="360">
        <f t="shared" si="12"/>
        <v>4.828306483790596E-4</v>
      </c>
      <c r="AD20" s="360">
        <f t="shared" si="13"/>
        <v>3.4377794206725168E-2</v>
      </c>
      <c r="AE20" s="360">
        <f t="shared" si="14"/>
        <v>0.59989119048578321</v>
      </c>
      <c r="AF20" s="360">
        <f t="shared" si="15"/>
        <v>1.102598499287295E-2</v>
      </c>
      <c r="AG20" s="360">
        <f t="shared" si="16"/>
        <v>0.64584016661903998</v>
      </c>
      <c r="AH20" s="360">
        <f t="shared" si="17"/>
        <v>0.65612408482197626</v>
      </c>
      <c r="AI20" s="360">
        <f t="shared" si="18"/>
        <v>1.0762470367086897E-3</v>
      </c>
      <c r="AJ20" s="360">
        <f t="shared" si="19"/>
        <v>2.9136384992872952E-2</v>
      </c>
      <c r="AK20" s="360">
        <f t="shared" si="20"/>
        <v>3.0217575309115851E-2</v>
      </c>
      <c r="AL20" s="360">
        <f t="shared" si="21"/>
        <v>1.8110399999999999E-2</v>
      </c>
      <c r="AM20" s="360">
        <f t="shared" si="22"/>
        <v>0.29105999999999999</v>
      </c>
      <c r="AN20" s="360">
        <f t="shared" si="23"/>
        <v>5.1097058941331919E-3</v>
      </c>
      <c r="AO20" s="360">
        <f t="shared" si="24"/>
        <v>7.3499999999999998E-4</v>
      </c>
      <c r="AP20" s="360">
        <f t="shared" si="25"/>
        <v>0.34650000000000003</v>
      </c>
      <c r="AQ20" s="360">
        <f t="shared" si="26"/>
        <v>1.3167</v>
      </c>
      <c r="AR20" s="360">
        <f t="shared" si="27"/>
        <v>1.1088</v>
      </c>
      <c r="AS20" s="360">
        <f t="shared" si="28"/>
        <v>0.34723500000000002</v>
      </c>
      <c r="AT20" s="360">
        <f t="shared" si="29"/>
        <v>1.640892091672276</v>
      </c>
      <c r="AU20">
        <f t="shared" si="30"/>
        <v>1.452</v>
      </c>
      <c r="AV20" s="542">
        <f t="shared" si="47"/>
        <v>0.46946351730458447</v>
      </c>
      <c r="AW20" s="551">
        <f t="shared" si="31"/>
        <v>41.896988330951999</v>
      </c>
      <c r="AX20" s="551">
        <f t="shared" si="32"/>
        <v>4.7981602617464025</v>
      </c>
      <c r="AY20" s="9"/>
      <c r="AZ20" s="4">
        <f t="shared" si="48"/>
        <v>46.946351730458446</v>
      </c>
      <c r="BA20" s="360">
        <f t="shared" si="33"/>
        <v>0.30261670424135956</v>
      </c>
      <c r="BB20" s="360">
        <f t="shared" si="34"/>
        <v>0.96711774192815581</v>
      </c>
      <c r="BC20" s="360">
        <f t="shared" si="35"/>
        <v>0.83793976661904002</v>
      </c>
      <c r="BD20" s="360">
        <f t="shared" si="36"/>
        <v>0.12626737530911586</v>
      </c>
      <c r="BE20" s="360">
        <f t="shared" si="37"/>
        <v>5.1097058941331919E-3</v>
      </c>
      <c r="BK20" s="18"/>
      <c r="BL20" s="19"/>
    </row>
    <row r="21" spans="1:65" x14ac:dyDescent="0.2">
      <c r="A21" s="25" t="s">
        <v>129</v>
      </c>
      <c r="B21" s="39">
        <f>ThetaCa</f>
        <v>20</v>
      </c>
      <c r="C21" s="441" t="s">
        <v>205</v>
      </c>
      <c r="D21" s="26" t="s">
        <v>130</v>
      </c>
      <c r="G21">
        <v>12</v>
      </c>
      <c r="H21" s="548">
        <f t="shared" si="0"/>
        <v>21</v>
      </c>
      <c r="I21" s="4">
        <f t="shared" si="1"/>
        <v>1</v>
      </c>
      <c r="J21" s="360">
        <f t="shared" si="38"/>
        <v>0.48</v>
      </c>
      <c r="K21" s="360">
        <f t="shared" si="2"/>
        <v>0.48</v>
      </c>
      <c r="L21" s="4">
        <f t="shared" si="3"/>
        <v>8.3809523809523792E-2</v>
      </c>
      <c r="M21" s="360">
        <f t="shared" si="4"/>
        <v>0.15751945425251104</v>
      </c>
      <c r="N21" s="4">
        <f t="shared" si="5"/>
        <v>1.9518645921225433</v>
      </c>
      <c r="O21" s="4">
        <f t="shared" si="39"/>
        <v>1.4559322960612717</v>
      </c>
      <c r="P21" s="4">
        <f t="shared" si="40"/>
        <v>-0.49593229606127165</v>
      </c>
      <c r="Q21" s="4">
        <f t="shared" si="6"/>
        <v>5.1848645693807809</v>
      </c>
      <c r="R21" s="4">
        <f t="shared" si="41"/>
        <v>0.74019003111710568</v>
      </c>
      <c r="S21" s="360">
        <f t="shared" si="7"/>
        <v>2.7394064108257096E-3</v>
      </c>
      <c r="T21" s="360">
        <f t="shared" si="8"/>
        <v>0.3</v>
      </c>
      <c r="U21" s="360">
        <f t="shared" si="9"/>
        <v>0.30280576705558626</v>
      </c>
      <c r="V21" s="4">
        <f t="shared" si="42"/>
        <v>0.56345477384182474</v>
      </c>
      <c r="W21" s="360">
        <f t="shared" si="10"/>
        <v>6.3496256433028377E-4</v>
      </c>
      <c r="X21" s="360">
        <f t="shared" si="43"/>
        <v>6.3496256433028377E-4</v>
      </c>
      <c r="Y21" s="4">
        <f t="shared" si="44"/>
        <v>0.2696436960753944</v>
      </c>
      <c r="Z21" s="360">
        <f t="shared" si="11"/>
        <v>7.2707722833199661E-5</v>
      </c>
      <c r="AA21" s="541">
        <f t="shared" si="45"/>
        <v>7.2707722833199661E-5</v>
      </c>
      <c r="AB21" s="360">
        <f t="shared" si="46"/>
        <v>0.29377195332743927</v>
      </c>
      <c r="AC21" s="360">
        <f t="shared" si="12"/>
        <v>5.1781176337091495E-4</v>
      </c>
      <c r="AD21" s="360">
        <f t="shared" si="13"/>
        <v>3.7503048225518358E-2</v>
      </c>
      <c r="AE21" s="360">
        <f t="shared" si="14"/>
        <v>0.60583099858771017</v>
      </c>
      <c r="AF21" s="360">
        <f t="shared" si="15"/>
        <v>1.0206286652940971E-2</v>
      </c>
      <c r="AG21" s="360">
        <f t="shared" si="16"/>
        <v>0.65412588804545146</v>
      </c>
      <c r="AH21" s="360">
        <f t="shared" si="17"/>
        <v>0.67939629201469942</v>
      </c>
      <c r="AI21" s="360">
        <f t="shared" si="18"/>
        <v>1.1539483040083067E-3</v>
      </c>
      <c r="AJ21" s="360">
        <f t="shared" si="19"/>
        <v>2.9963086652940969E-2</v>
      </c>
      <c r="AK21" s="360">
        <f t="shared" si="20"/>
        <v>3.1122493846795912E-2</v>
      </c>
      <c r="AL21" s="360">
        <f t="shared" si="21"/>
        <v>1.9756799999999998E-2</v>
      </c>
      <c r="AM21" s="360">
        <f t="shared" si="22"/>
        <v>0.31751999999999997</v>
      </c>
      <c r="AN21" s="360">
        <f t="shared" si="23"/>
        <v>5.4788128216514192E-3</v>
      </c>
      <c r="AO21" s="360">
        <f t="shared" si="24"/>
        <v>7.3499999999999998E-4</v>
      </c>
      <c r="AP21" s="360">
        <f t="shared" si="25"/>
        <v>0.34650000000000003</v>
      </c>
      <c r="AQ21" s="360">
        <f t="shared" si="26"/>
        <v>1.3167</v>
      </c>
      <c r="AR21" s="360">
        <f t="shared" si="27"/>
        <v>1.1088</v>
      </c>
      <c r="AS21" s="360">
        <f t="shared" si="28"/>
        <v>0.34723500000000002</v>
      </c>
      <c r="AT21" s="360">
        <f t="shared" si="29"/>
        <v>1.6787524320566485</v>
      </c>
      <c r="AU21">
        <f t="shared" si="30"/>
        <v>1.5839999999999999</v>
      </c>
      <c r="AV21" s="542">
        <f t="shared" si="47"/>
        <v>0.48547967796672181</v>
      </c>
      <c r="AW21" s="551">
        <f t="shared" si="31"/>
        <v>43.184454402272571</v>
      </c>
      <c r="AX21" s="551">
        <f t="shared" si="32"/>
        <v>5.1643555661782443</v>
      </c>
      <c r="AY21" s="9"/>
      <c r="AZ21" s="4">
        <f t="shared" si="48"/>
        <v>48.547967796672182</v>
      </c>
      <c r="BA21" s="360">
        <f t="shared" si="33"/>
        <v>0.30280576705558626</v>
      </c>
      <c r="BB21" s="360">
        <f t="shared" si="34"/>
        <v>1.0027683818922473</v>
      </c>
      <c r="BC21" s="360">
        <f t="shared" si="35"/>
        <v>0.86368908804545141</v>
      </c>
      <c r="BD21" s="360">
        <f t="shared" si="36"/>
        <v>0.13590409384679591</v>
      </c>
      <c r="BE21" s="360">
        <f t="shared" si="37"/>
        <v>5.4788128216514192E-3</v>
      </c>
      <c r="BK21" s="18"/>
      <c r="BL21" s="19"/>
    </row>
    <row r="22" spans="1:65" x14ac:dyDescent="0.2">
      <c r="A22" s="36" t="s">
        <v>57</v>
      </c>
      <c r="B22" s="39">
        <f>Cin*1000000</f>
        <v>50</v>
      </c>
      <c r="C22" s="443" t="s">
        <v>467</v>
      </c>
      <c r="D22" s="440" t="s">
        <v>484</v>
      </c>
      <c r="G22">
        <v>13</v>
      </c>
      <c r="H22" s="548">
        <f t="shared" si="0"/>
        <v>21</v>
      </c>
      <c r="I22" s="4">
        <f t="shared" si="1"/>
        <v>1</v>
      </c>
      <c r="J22" s="360">
        <f t="shared" si="38"/>
        <v>0.52</v>
      </c>
      <c r="K22" s="360">
        <f t="shared" si="2"/>
        <v>0.52</v>
      </c>
      <c r="L22" s="4">
        <f t="shared" si="3"/>
        <v>9.0793650793650788E-2</v>
      </c>
      <c r="M22" s="360">
        <f t="shared" si="4"/>
        <v>0.15755083229461161</v>
      </c>
      <c r="N22" s="4">
        <f t="shared" si="5"/>
        <v>1.9522048605419469</v>
      </c>
      <c r="O22" s="4">
        <f t="shared" si="39"/>
        <v>1.4961024302709736</v>
      </c>
      <c r="P22" s="4">
        <f t="shared" si="40"/>
        <v>-0.45610243027097341</v>
      </c>
      <c r="Q22" s="4">
        <f t="shared" si="6"/>
        <v>4.768451963104793</v>
      </c>
      <c r="R22" s="4">
        <f t="shared" si="41"/>
        <v>0.76680635416879117</v>
      </c>
      <c r="S22" s="360">
        <f t="shared" si="7"/>
        <v>2.9399599239681678E-3</v>
      </c>
      <c r="T22" s="360">
        <f t="shared" si="8"/>
        <v>0.3</v>
      </c>
      <c r="U22" s="360">
        <f t="shared" si="9"/>
        <v>0.30301122719312501</v>
      </c>
      <c r="V22" s="4">
        <f t="shared" si="42"/>
        <v>0.5635530008735945</v>
      </c>
      <c r="W22" s="360">
        <f t="shared" si="10"/>
        <v>6.3518396958726724E-4</v>
      </c>
      <c r="X22" s="360">
        <f t="shared" si="43"/>
        <v>6.3518396958726724E-4</v>
      </c>
      <c r="Y22" s="4">
        <f t="shared" si="44"/>
        <v>0.27936237016716819</v>
      </c>
      <c r="Z22" s="360">
        <f t="shared" si="11"/>
        <v>7.8043333865417908E-5</v>
      </c>
      <c r="AA22" s="541">
        <f t="shared" si="45"/>
        <v>7.8043333865417908E-5</v>
      </c>
      <c r="AB22" s="360">
        <f t="shared" si="46"/>
        <v>0.30436594189691724</v>
      </c>
      <c r="AC22" s="360">
        <f t="shared" si="12"/>
        <v>5.5583175952078558E-4</v>
      </c>
      <c r="AD22" s="360">
        <f t="shared" si="13"/>
        <v>4.0628302244311555E-2</v>
      </c>
      <c r="AE22" s="360">
        <f t="shared" si="14"/>
        <v>0.61122933445814087</v>
      </c>
      <c r="AF22" s="360">
        <f t="shared" si="15"/>
        <v>9.3865880149766323E-3</v>
      </c>
      <c r="AG22" s="360">
        <f t="shared" si="16"/>
        <v>0.6618736345543248</v>
      </c>
      <c r="AH22" s="360">
        <f t="shared" si="17"/>
        <v>0.70381343991631473</v>
      </c>
      <c r="AI22" s="360">
        <f t="shared" si="18"/>
        <v>1.23838339551709E-3</v>
      </c>
      <c r="AJ22" s="360">
        <f t="shared" si="19"/>
        <v>3.0789788014976633E-2</v>
      </c>
      <c r="AK22" s="360">
        <f t="shared" si="20"/>
        <v>3.2034201345194975E-2</v>
      </c>
      <c r="AL22" s="360">
        <f t="shared" si="21"/>
        <v>2.1403199999999997E-2</v>
      </c>
      <c r="AM22" s="360">
        <f t="shared" si="22"/>
        <v>0.34398000000000006</v>
      </c>
      <c r="AN22" s="360">
        <f t="shared" si="23"/>
        <v>5.8799198479363357E-3</v>
      </c>
      <c r="AO22" s="360">
        <f t="shared" si="24"/>
        <v>7.3499999999999998E-4</v>
      </c>
      <c r="AP22" s="360">
        <f t="shared" si="25"/>
        <v>0.34650000000000003</v>
      </c>
      <c r="AQ22" s="360">
        <f t="shared" si="26"/>
        <v>1.3167</v>
      </c>
      <c r="AR22" s="360">
        <f t="shared" si="27"/>
        <v>1.1088</v>
      </c>
      <c r="AS22" s="360">
        <f t="shared" si="28"/>
        <v>0.34723500000000002</v>
      </c>
      <c r="AT22" s="360">
        <f t="shared" si="29"/>
        <v>1.7161304102440336</v>
      </c>
      <c r="AU22">
        <f t="shared" si="30"/>
        <v>1.716</v>
      </c>
      <c r="AV22" s="542">
        <f t="shared" si="47"/>
        <v>0.49998100156048209</v>
      </c>
      <c r="AW22" s="551">
        <f t="shared" si="31"/>
        <v>44.445021727716245</v>
      </c>
      <c r="AX22" s="551">
        <f t="shared" si="32"/>
        <v>5.5308088511174107</v>
      </c>
      <c r="AY22" s="9"/>
      <c r="AZ22" s="4">
        <f t="shared" si="48"/>
        <v>49.99810015604821</v>
      </c>
      <c r="BA22" s="360">
        <f t="shared" si="33"/>
        <v>0.30301122719312501</v>
      </c>
      <c r="BB22" s="360">
        <f t="shared" si="34"/>
        <v>1.0378878358995198</v>
      </c>
      <c r="BC22" s="360">
        <f t="shared" si="35"/>
        <v>0.88890043455432488</v>
      </c>
      <c r="BD22" s="360">
        <f t="shared" si="36"/>
        <v>0.14554760134519501</v>
      </c>
      <c r="BE22" s="360">
        <f t="shared" si="37"/>
        <v>5.8799198479363357E-3</v>
      </c>
      <c r="BK22" s="18"/>
      <c r="BL22" s="19"/>
    </row>
    <row r="23" spans="1:65" x14ac:dyDescent="0.2">
      <c r="A23" s="36" t="s">
        <v>86</v>
      </c>
      <c r="B23" s="39">
        <f>RCinEsr*1000</f>
        <v>1</v>
      </c>
      <c r="C23" s="442" t="s">
        <v>466</v>
      </c>
      <c r="D23" s="440" t="s">
        <v>480</v>
      </c>
      <c r="G23">
        <v>14</v>
      </c>
      <c r="H23" s="548">
        <f t="shared" si="0"/>
        <v>21</v>
      </c>
      <c r="I23" s="4">
        <f t="shared" si="1"/>
        <v>1</v>
      </c>
      <c r="J23" s="360">
        <f t="shared" si="38"/>
        <v>0.56000000000000005</v>
      </c>
      <c r="K23" s="360">
        <f t="shared" si="2"/>
        <v>0.56000000000000005</v>
      </c>
      <c r="L23" s="4">
        <f t="shared" si="3"/>
        <v>9.7777777777777769E-2</v>
      </c>
      <c r="M23" s="360">
        <f t="shared" si="4"/>
        <v>0.15758220955986674</v>
      </c>
      <c r="N23" s="4">
        <f t="shared" si="5"/>
        <v>1.9525450999991261</v>
      </c>
      <c r="O23" s="4">
        <f t="shared" si="39"/>
        <v>1.5362725499995631</v>
      </c>
      <c r="P23" s="4">
        <f t="shared" si="40"/>
        <v>-0.41627254999956298</v>
      </c>
      <c r="Q23" s="4">
        <f t="shared" si="6"/>
        <v>4.352039205431919</v>
      </c>
      <c r="R23" s="4">
        <f t="shared" si="41"/>
        <v>0.79454559170271433</v>
      </c>
      <c r="S23" s="360">
        <f t="shared" si="7"/>
        <v>3.1565134864710818E-3</v>
      </c>
      <c r="T23" s="360">
        <f t="shared" si="8"/>
        <v>0.3</v>
      </c>
      <c r="U23" s="360">
        <f t="shared" si="9"/>
        <v>0.30323308623257006</v>
      </c>
      <c r="V23" s="4">
        <f t="shared" si="42"/>
        <v>0.56365121954469011</v>
      </c>
      <c r="W23" s="360">
        <f t="shared" si="10"/>
        <v>6.3540539458843291E-4</v>
      </c>
      <c r="X23" s="360">
        <f t="shared" si="43"/>
        <v>6.3540539458843291E-4</v>
      </c>
      <c r="Y23" s="4">
        <f t="shared" si="44"/>
        <v>0.28949174239958664</v>
      </c>
      <c r="Z23" s="360">
        <f t="shared" si="11"/>
        <v>8.3805468917548632E-5</v>
      </c>
      <c r="AA23" s="541">
        <f t="shared" si="45"/>
        <v>8.3805468917548632E-5</v>
      </c>
      <c r="AB23" s="360">
        <f t="shared" si="46"/>
        <v>0.31540778991763396</v>
      </c>
      <c r="AC23" s="360">
        <f t="shared" si="12"/>
        <v>5.9689244364435792E-4</v>
      </c>
      <c r="AD23" s="360">
        <f t="shared" si="13"/>
        <v>4.3753556263104759E-2</v>
      </c>
      <c r="AE23" s="360">
        <f t="shared" si="14"/>
        <v>0.61608619750639315</v>
      </c>
      <c r="AF23" s="360">
        <f t="shared" si="15"/>
        <v>8.5668890789910059E-3</v>
      </c>
      <c r="AG23" s="360">
        <f t="shared" si="16"/>
        <v>0.66908340945838807</v>
      </c>
      <c r="AH23" s="360">
        <f t="shared" si="17"/>
        <v>0.7292603261891395</v>
      </c>
      <c r="AI23" s="360">
        <f t="shared" si="18"/>
        <v>1.3295515583837253E-3</v>
      </c>
      <c r="AJ23" s="360">
        <f t="shared" si="19"/>
        <v>3.1616489078991006E-2</v>
      </c>
      <c r="AK23" s="360">
        <f t="shared" si="20"/>
        <v>3.2952700109069741E-2</v>
      </c>
      <c r="AL23" s="360">
        <f t="shared" si="21"/>
        <v>2.30496E-2</v>
      </c>
      <c r="AM23" s="360">
        <f t="shared" si="22"/>
        <v>0.37044000000000005</v>
      </c>
      <c r="AN23" s="360">
        <f t="shared" si="23"/>
        <v>6.3130269729421637E-3</v>
      </c>
      <c r="AO23" s="360">
        <f t="shared" si="24"/>
        <v>7.3499999999999998E-4</v>
      </c>
      <c r="AP23" s="360">
        <f t="shared" si="25"/>
        <v>0.34650000000000003</v>
      </c>
      <c r="AQ23" s="360">
        <f t="shared" si="26"/>
        <v>1.3167</v>
      </c>
      <c r="AR23" s="360">
        <f t="shared" si="27"/>
        <v>1.1088</v>
      </c>
      <c r="AS23" s="360">
        <f t="shared" si="28"/>
        <v>0.34723500000000002</v>
      </c>
      <c r="AT23" s="360">
        <f t="shared" si="29"/>
        <v>1.753026033636476</v>
      </c>
      <c r="AU23">
        <f t="shared" si="30"/>
        <v>1.8480000000000001</v>
      </c>
      <c r="AV23" s="542">
        <f t="shared" si="47"/>
        <v>0.51318707022337395</v>
      </c>
      <c r="AW23" s="551">
        <f t="shared" si="31"/>
        <v>45.678690472919406</v>
      </c>
      <c r="AX23" s="551">
        <f t="shared" si="32"/>
        <v>5.8975202041446506</v>
      </c>
      <c r="AY23" s="9"/>
      <c r="AZ23" s="4">
        <f t="shared" si="48"/>
        <v>51.318707022337392</v>
      </c>
      <c r="BA23" s="360">
        <f t="shared" si="33"/>
        <v>0.30323308623257006</v>
      </c>
      <c r="BB23" s="360">
        <f t="shared" si="34"/>
        <v>1.0724761095674578</v>
      </c>
      <c r="BC23" s="360">
        <f t="shared" si="35"/>
        <v>0.91357380945838806</v>
      </c>
      <c r="BD23" s="360">
        <f t="shared" si="36"/>
        <v>0.15519790010906975</v>
      </c>
      <c r="BE23" s="360">
        <f t="shared" si="37"/>
        <v>6.3130269729421637E-3</v>
      </c>
      <c r="BK23" s="18"/>
      <c r="BL23" s="19"/>
    </row>
    <row r="24" spans="1:65" x14ac:dyDescent="0.2">
      <c r="A24" s="35" t="s">
        <v>25</v>
      </c>
      <c r="B24" s="39">
        <f>Cout*1000000</f>
        <v>4.7</v>
      </c>
      <c r="C24" s="441" t="s">
        <v>467</v>
      </c>
      <c r="D24" s="440" t="s">
        <v>483</v>
      </c>
      <c r="G24">
        <v>15</v>
      </c>
      <c r="H24" s="548">
        <f t="shared" si="0"/>
        <v>21</v>
      </c>
      <c r="I24" s="4">
        <f t="shared" si="1"/>
        <v>1</v>
      </c>
      <c r="J24" s="360">
        <f t="shared" si="38"/>
        <v>0.6</v>
      </c>
      <c r="K24" s="360">
        <f t="shared" si="2"/>
        <v>0.6</v>
      </c>
      <c r="L24" s="4">
        <f t="shared" si="3"/>
        <v>0.10476190476190474</v>
      </c>
      <c r="M24" s="360">
        <f t="shared" si="4"/>
        <v>0.1576135860483053</v>
      </c>
      <c r="N24" s="4">
        <f t="shared" si="5"/>
        <v>1.9528853104951576</v>
      </c>
      <c r="O24" s="4">
        <f t="shared" si="39"/>
        <v>1.5764426552475788</v>
      </c>
      <c r="P24" s="4">
        <f t="shared" si="40"/>
        <v>-0.37644265524757881</v>
      </c>
      <c r="Q24" s="4">
        <f t="shared" si="6"/>
        <v>3.9356262963677873</v>
      </c>
      <c r="R24" s="4">
        <f t="shared" si="41"/>
        <v>0.82329424852984001</v>
      </c>
      <c r="S24" s="360">
        <f t="shared" si="7"/>
        <v>3.3890670983115702E-3</v>
      </c>
      <c r="T24" s="360">
        <f t="shared" si="8"/>
        <v>0.3</v>
      </c>
      <c r="U24" s="360">
        <f t="shared" si="9"/>
        <v>0.30347134587859931</v>
      </c>
      <c r="V24" s="4">
        <f t="shared" si="42"/>
        <v>0.56374942985542253</v>
      </c>
      <c r="W24" s="360">
        <f t="shared" si="10"/>
        <v>6.3562683932462795E-4</v>
      </c>
      <c r="X24" s="360">
        <f t="shared" si="43"/>
        <v>6.3562683932462795E-4</v>
      </c>
      <c r="Y24" s="4">
        <f t="shared" si="44"/>
        <v>0.29999055645398492</v>
      </c>
      <c r="Z24" s="360">
        <f t="shared" si="11"/>
        <v>8.9994333961571511E-5</v>
      </c>
      <c r="AA24" s="541">
        <f t="shared" si="45"/>
        <v>8.9994333961571511E-5</v>
      </c>
      <c r="AB24" s="360">
        <f t="shared" si="46"/>
        <v>0.32685257188010958</v>
      </c>
      <c r="AC24" s="360">
        <f t="shared" si="12"/>
        <v>6.4099562246785319E-4</v>
      </c>
      <c r="AD24" s="360">
        <f t="shared" si="13"/>
        <v>4.6878810281897949E-2</v>
      </c>
      <c r="AE24" s="360">
        <f t="shared" si="14"/>
        <v>0.62040158714181348</v>
      </c>
      <c r="AF24" s="360">
        <f t="shared" si="15"/>
        <v>7.7471898449951709E-3</v>
      </c>
      <c r="AG24" s="360">
        <f t="shared" si="16"/>
        <v>0.67575521411799633</v>
      </c>
      <c r="AH24" s="360">
        <f t="shared" si="17"/>
        <v>0.75563272554705552</v>
      </c>
      <c r="AI24" s="360">
        <f t="shared" si="18"/>
        <v>1.4274520397941793E-3</v>
      </c>
      <c r="AJ24" s="360">
        <f t="shared" si="19"/>
        <v>3.2443189844995168E-2</v>
      </c>
      <c r="AK24" s="360">
        <f t="shared" si="20"/>
        <v>3.3877992484629749E-2</v>
      </c>
      <c r="AL24" s="360">
        <f t="shared" si="21"/>
        <v>2.4695999999999996E-2</v>
      </c>
      <c r="AM24" s="360">
        <f t="shared" si="22"/>
        <v>0.39690000000000003</v>
      </c>
      <c r="AN24" s="360">
        <f t="shared" si="23"/>
        <v>6.7781341966231404E-3</v>
      </c>
      <c r="AO24" s="360">
        <f t="shared" si="24"/>
        <v>7.3499999999999998E-4</v>
      </c>
      <c r="AP24" s="360">
        <f t="shared" si="25"/>
        <v>0.34650000000000003</v>
      </c>
      <c r="AQ24" s="360">
        <f t="shared" si="26"/>
        <v>1.3167</v>
      </c>
      <c r="AR24" s="360">
        <f t="shared" si="27"/>
        <v>1.1088</v>
      </c>
      <c r="AS24" s="360">
        <f t="shared" si="28"/>
        <v>0.34723500000000002</v>
      </c>
      <c r="AT24" s="360">
        <f t="shared" si="29"/>
        <v>1.7894393078511348</v>
      </c>
      <c r="AU24">
        <f t="shared" si="30"/>
        <v>1.9799999999999998</v>
      </c>
      <c r="AV24" s="542">
        <f t="shared" si="47"/>
        <v>0.52527706066946855</v>
      </c>
      <c r="AW24" s="551">
        <f t="shared" si="31"/>
        <v>46.885460705899817</v>
      </c>
      <c r="AX24" s="551">
        <f t="shared" si="32"/>
        <v>6.2644897144159311</v>
      </c>
      <c r="AY24" s="9"/>
      <c r="AZ24" s="4">
        <f t="shared" si="48"/>
        <v>52.527706066946855</v>
      </c>
      <c r="BA24" s="360">
        <f t="shared" si="33"/>
        <v>0.30347134587859931</v>
      </c>
      <c r="BB24" s="360">
        <f t="shared" si="34"/>
        <v>1.1065332066026261</v>
      </c>
      <c r="BC24" s="360">
        <f t="shared" si="35"/>
        <v>0.93770921411799635</v>
      </c>
      <c r="BD24" s="360">
        <f t="shared" si="36"/>
        <v>0.16485499248462976</v>
      </c>
      <c r="BE24" s="360">
        <f t="shared" si="37"/>
        <v>6.7781341966231404E-3</v>
      </c>
      <c r="BK24" s="18"/>
      <c r="BL24" s="19"/>
    </row>
    <row r="25" spans="1:65" x14ac:dyDescent="0.2">
      <c r="A25" s="35" t="s">
        <v>85</v>
      </c>
      <c r="B25" s="40">
        <f>Cout_ESR*1000</f>
        <v>2</v>
      </c>
      <c r="C25" s="442" t="s">
        <v>466</v>
      </c>
      <c r="D25" s="440" t="s">
        <v>482</v>
      </c>
      <c r="G25">
        <v>16</v>
      </c>
      <c r="H25" s="548">
        <f t="shared" si="0"/>
        <v>21</v>
      </c>
      <c r="I25" s="4">
        <f t="shared" si="1"/>
        <v>1</v>
      </c>
      <c r="J25" s="360">
        <f t="shared" si="38"/>
        <v>0.64</v>
      </c>
      <c r="K25" s="360">
        <f t="shared" si="2"/>
        <v>0.64</v>
      </c>
      <c r="L25" s="4">
        <f t="shared" si="3"/>
        <v>0.11174603174603173</v>
      </c>
      <c r="M25" s="360">
        <f t="shared" si="4"/>
        <v>0.15764496175995613</v>
      </c>
      <c r="N25" s="4">
        <f t="shared" si="5"/>
        <v>1.9532254920311156</v>
      </c>
      <c r="O25" s="4">
        <f t="shared" si="39"/>
        <v>1.6166127460155577</v>
      </c>
      <c r="P25" s="4">
        <f t="shared" si="40"/>
        <v>-0.3366127460155578</v>
      </c>
      <c r="Q25" s="4">
        <f t="shared" si="6"/>
        <v>3.5192132359180119</v>
      </c>
      <c r="R25" s="4">
        <f t="shared" si="41"/>
        <v>0.85295026343471492</v>
      </c>
      <c r="S25" s="360">
        <f t="shared" si="7"/>
        <v>3.637620759466748E-3</v>
      </c>
      <c r="T25" s="360">
        <f t="shared" si="8"/>
        <v>0.3</v>
      </c>
      <c r="U25" s="360">
        <f t="shared" si="9"/>
        <v>0.30372600796200699</v>
      </c>
      <c r="V25" s="4">
        <f t="shared" si="42"/>
        <v>0.56384763180610198</v>
      </c>
      <c r="W25" s="360">
        <f t="shared" si="10"/>
        <v>6.3584830378669909E-4</v>
      </c>
      <c r="X25" s="360">
        <f t="shared" si="43"/>
        <v>6.3584830378669909E-4</v>
      </c>
      <c r="Y25" s="4">
        <f t="shared" si="44"/>
        <v>0.31082170921844576</v>
      </c>
      <c r="Z25" s="360">
        <f t="shared" si="11"/>
        <v>9.6610134921476049E-5</v>
      </c>
      <c r="AA25" s="541">
        <f t="shared" si="45"/>
        <v>9.6610134921476049E-5</v>
      </c>
      <c r="AB25" s="360">
        <f t="shared" si="46"/>
        <v>0.33865988410892661</v>
      </c>
      <c r="AC25" s="360">
        <f t="shared" si="12"/>
        <v>6.8814310262802967E-4</v>
      </c>
      <c r="AD25" s="360">
        <f t="shared" si="13"/>
        <v>5.0004064300691146E-2</v>
      </c>
      <c r="AE25" s="360">
        <f t="shared" si="14"/>
        <v>0.62417550277377776</v>
      </c>
      <c r="AF25" s="360">
        <f t="shared" si="15"/>
        <v>6.9274903130001793E-3</v>
      </c>
      <c r="AG25" s="360">
        <f t="shared" si="16"/>
        <v>0.68188904793911653</v>
      </c>
      <c r="AH25" s="360">
        <f t="shared" si="17"/>
        <v>0.78283691455416049</v>
      </c>
      <c r="AI25" s="360">
        <f t="shared" si="18"/>
        <v>1.5320840869716948E-3</v>
      </c>
      <c r="AJ25" s="360">
        <f t="shared" si="19"/>
        <v>3.3269890313000171E-2</v>
      </c>
      <c r="AK25" s="360">
        <f t="shared" si="20"/>
        <v>3.481008085955644E-2</v>
      </c>
      <c r="AL25" s="360">
        <f t="shared" si="21"/>
        <v>2.6342399999999998E-2</v>
      </c>
      <c r="AM25" s="360">
        <f t="shared" si="22"/>
        <v>0.42336000000000001</v>
      </c>
      <c r="AN25" s="360">
        <f t="shared" si="23"/>
        <v>7.275241518933496E-3</v>
      </c>
      <c r="AO25" s="360">
        <f t="shared" si="24"/>
        <v>7.3499999999999998E-4</v>
      </c>
      <c r="AP25" s="360">
        <f t="shared" si="25"/>
        <v>0.34650000000000003</v>
      </c>
      <c r="AQ25" s="360">
        <f t="shared" si="26"/>
        <v>1.3167</v>
      </c>
      <c r="AR25" s="360">
        <f t="shared" si="27"/>
        <v>1.1088</v>
      </c>
      <c r="AS25" s="360">
        <f t="shared" si="28"/>
        <v>0.34723500000000002</v>
      </c>
      <c r="AT25" s="360">
        <f t="shared" si="29"/>
        <v>1.8253702367183215</v>
      </c>
      <c r="AU25">
        <f t="shared" si="30"/>
        <v>2.1120000000000001</v>
      </c>
      <c r="AV25" s="542">
        <f t="shared" si="47"/>
        <v>0.53639862980228337</v>
      </c>
      <c r="AW25" s="551">
        <f t="shared" si="31"/>
        <v>48.065332396955831</v>
      </c>
      <c r="AX25" s="551">
        <f t="shared" si="32"/>
        <v>6.631717472663146</v>
      </c>
      <c r="AY25" s="9"/>
      <c r="AZ25" s="4">
        <f t="shared" si="48"/>
        <v>53.639862980228337</v>
      </c>
      <c r="BA25" s="360">
        <f t="shared" si="33"/>
        <v>0.30372600796200699</v>
      </c>
      <c r="BB25" s="360">
        <f t="shared" si="34"/>
        <v>1.140059128798673</v>
      </c>
      <c r="BC25" s="360">
        <f t="shared" si="35"/>
        <v>0.96130664793911658</v>
      </c>
      <c r="BD25" s="360">
        <f t="shared" si="36"/>
        <v>0.17451888085955647</v>
      </c>
      <c r="BE25" s="360">
        <f t="shared" si="37"/>
        <v>7.275241518933496E-3</v>
      </c>
    </row>
    <row r="26" spans="1:65" x14ac:dyDescent="0.2">
      <c r="A26" s="24" t="s">
        <v>112</v>
      </c>
      <c r="B26" s="37" t="s">
        <v>111</v>
      </c>
      <c r="C26" s="24" t="s">
        <v>76</v>
      </c>
      <c r="D26" s="17" t="s">
        <v>107</v>
      </c>
      <c r="G26">
        <v>17</v>
      </c>
      <c r="H26" s="548">
        <f t="shared" si="0"/>
        <v>21</v>
      </c>
      <c r="I26" s="4">
        <f t="shared" si="1"/>
        <v>1</v>
      </c>
      <c r="J26" s="360">
        <f t="shared" si="38"/>
        <v>0.68</v>
      </c>
      <c r="K26" s="360">
        <f t="shared" si="2"/>
        <v>0.68</v>
      </c>
      <c r="L26" s="4">
        <f t="shared" si="3"/>
        <v>0.11873015873015873</v>
      </c>
      <c r="M26" s="360">
        <f t="shared" si="4"/>
        <v>0.15767633669484801</v>
      </c>
      <c r="N26" s="4">
        <f t="shared" si="5"/>
        <v>1.9535656446080756</v>
      </c>
      <c r="O26" s="4">
        <f t="shared" si="39"/>
        <v>1.6567828223040379</v>
      </c>
      <c r="P26" s="4">
        <f t="shared" si="40"/>
        <v>-0.29678282230403774</v>
      </c>
      <c r="Q26" s="4">
        <f t="shared" si="6"/>
        <v>3.1028000240882148</v>
      </c>
      <c r="R26" s="4">
        <f t="shared" si="41"/>
        <v>0.88342226255780265</v>
      </c>
      <c r="S26" s="360">
        <f t="shared" si="7"/>
        <v>3.9021744699137364E-3</v>
      </c>
      <c r="T26" s="360">
        <f t="shared" si="8"/>
        <v>0.3</v>
      </c>
      <c r="U26" s="360">
        <f t="shared" si="9"/>
        <v>0.30399707443973834</v>
      </c>
      <c r="V26" s="4">
        <f t="shared" si="42"/>
        <v>0.56394582539703864</v>
      </c>
      <c r="W26" s="360">
        <f t="shared" si="10"/>
        <v>6.3606978796549446E-4</v>
      </c>
      <c r="X26" s="360">
        <f t="shared" si="43"/>
        <v>6.3606978796549446E-4</v>
      </c>
      <c r="Y26" s="4">
        <f t="shared" si="44"/>
        <v>0.32195198038413581</v>
      </c>
      <c r="Z26" s="360">
        <f t="shared" si="11"/>
        <v>1.0365307767326697E-4</v>
      </c>
      <c r="AA26" s="541">
        <f t="shared" si="45"/>
        <v>1.0365307767326697E-4</v>
      </c>
      <c r="AB26" s="360">
        <f t="shared" si="46"/>
        <v>0.35079355055649419</v>
      </c>
      <c r="AC26" s="360">
        <f t="shared" si="12"/>
        <v>7.3833669067218982E-4</v>
      </c>
      <c r="AD26" s="360">
        <f t="shared" si="13"/>
        <v>5.312931831948435E-2</v>
      </c>
      <c r="AE26" s="360">
        <f t="shared" si="14"/>
        <v>0.62740794381169063</v>
      </c>
      <c r="AF26" s="360">
        <f t="shared" si="15"/>
        <v>6.107790483017096E-3</v>
      </c>
      <c r="AG26" s="360">
        <f t="shared" si="16"/>
        <v>0.68748490837129095</v>
      </c>
      <c r="AH26" s="360">
        <f t="shared" si="17"/>
        <v>0.81078898541526545</v>
      </c>
      <c r="AI26" s="360">
        <f t="shared" si="18"/>
        <v>1.6434469471767888E-3</v>
      </c>
      <c r="AJ26" s="360">
        <f t="shared" si="19"/>
        <v>3.4096590483017095E-2</v>
      </c>
      <c r="AK26" s="360">
        <f t="shared" si="20"/>
        <v>3.5748967663022997E-2</v>
      </c>
      <c r="AL26" s="360">
        <f t="shared" si="21"/>
        <v>2.7988799999999998E-2</v>
      </c>
      <c r="AM26" s="360">
        <f t="shared" si="22"/>
        <v>0.44982000000000005</v>
      </c>
      <c r="AN26" s="360">
        <f t="shared" si="23"/>
        <v>7.8043489398274728E-3</v>
      </c>
      <c r="AO26" s="360">
        <f t="shared" si="24"/>
        <v>7.3499999999999998E-4</v>
      </c>
      <c r="AP26" s="360">
        <f t="shared" si="25"/>
        <v>0.34650000000000003</v>
      </c>
      <c r="AQ26" s="360">
        <f t="shared" si="26"/>
        <v>1.3167</v>
      </c>
      <c r="AR26" s="360">
        <f t="shared" si="27"/>
        <v>1.1088</v>
      </c>
      <c r="AS26" s="360">
        <f t="shared" si="28"/>
        <v>0.34723500000000002</v>
      </c>
      <c r="AT26" s="360">
        <f t="shared" si="29"/>
        <v>1.8608188222795183</v>
      </c>
      <c r="AU26">
        <f t="shared" si="30"/>
        <v>2.2440000000000002</v>
      </c>
      <c r="AV26" s="542">
        <f t="shared" si="47"/>
        <v>0.54667455426299305</v>
      </c>
      <c r="AW26" s="551">
        <f t="shared" si="31"/>
        <v>49.218305418564547</v>
      </c>
      <c r="AX26" s="551">
        <f t="shared" si="32"/>
        <v>6.999203571194875</v>
      </c>
      <c r="AY26" s="9"/>
      <c r="AZ26" s="4">
        <f t="shared" si="48"/>
        <v>54.667455426299306</v>
      </c>
      <c r="BA26" s="360">
        <f t="shared" si="33"/>
        <v>0.30399707443973834</v>
      </c>
      <c r="BB26" s="360">
        <f t="shared" si="34"/>
        <v>1.1730538760343141</v>
      </c>
      <c r="BC26" s="360">
        <f t="shared" si="35"/>
        <v>0.98436610837129102</v>
      </c>
      <c r="BD26" s="360">
        <f t="shared" si="36"/>
        <v>0.18418956766302302</v>
      </c>
      <c r="BE26" s="360">
        <f t="shared" si="37"/>
        <v>7.8043489398274728E-3</v>
      </c>
    </row>
    <row r="27" spans="1:65" x14ac:dyDescent="0.2">
      <c r="A27" s="22" t="s">
        <v>61</v>
      </c>
      <c r="B27" s="5">
        <f>RdsonDRT</f>
        <v>1</v>
      </c>
      <c r="C27" s="444" t="s">
        <v>116</v>
      </c>
      <c r="D27" s="440" t="s">
        <v>507</v>
      </c>
      <c r="G27">
        <v>18</v>
      </c>
      <c r="H27" s="548">
        <f t="shared" si="0"/>
        <v>21</v>
      </c>
      <c r="I27" s="4">
        <f t="shared" si="1"/>
        <v>1</v>
      </c>
      <c r="J27" s="360">
        <f t="shared" si="38"/>
        <v>0.72</v>
      </c>
      <c r="K27" s="360">
        <f t="shared" si="2"/>
        <v>0.72</v>
      </c>
      <c r="L27" s="4">
        <f t="shared" si="3"/>
        <v>0.1257142857142857</v>
      </c>
      <c r="M27" s="360">
        <f t="shared" si="4"/>
        <v>0.15770771085300989</v>
      </c>
      <c r="N27" s="4">
        <f t="shared" si="5"/>
        <v>1.9539057682271141</v>
      </c>
      <c r="O27" s="4">
        <f t="shared" si="39"/>
        <v>1.696952884113557</v>
      </c>
      <c r="P27" s="4">
        <f t="shared" si="40"/>
        <v>-0.2569528841135571</v>
      </c>
      <c r="Q27" s="4">
        <f t="shared" si="6"/>
        <v>2.6863866608840263</v>
      </c>
      <c r="R27" s="4">
        <f t="shared" si="41"/>
        <v>0.91462869292731708</v>
      </c>
      <c r="S27" s="360">
        <f t="shared" si="7"/>
        <v>4.1827282296296626E-3</v>
      </c>
      <c r="T27" s="360">
        <f t="shared" si="8"/>
        <v>0.3</v>
      </c>
      <c r="U27" s="360">
        <f t="shared" si="9"/>
        <v>0.30428454739492794</v>
      </c>
      <c r="V27" s="4">
        <f t="shared" si="42"/>
        <v>0.56404401062854348</v>
      </c>
      <c r="W27" s="360">
        <f t="shared" si="10"/>
        <v>6.3629129185186492E-4</v>
      </c>
      <c r="X27" s="360">
        <f t="shared" si="43"/>
        <v>6.3629129185186492E-4</v>
      </c>
      <c r="Y27" s="4">
        <f t="shared" si="44"/>
        <v>0.33335171822711501</v>
      </c>
      <c r="Z27" s="360">
        <f t="shared" si="11"/>
        <v>1.1112336804496989E-4</v>
      </c>
      <c r="AA27" s="541">
        <f t="shared" si="45"/>
        <v>1.1112336804496989E-4</v>
      </c>
      <c r="AB27" s="360">
        <f t="shared" si="46"/>
        <v>0.36322128082345523</v>
      </c>
      <c r="AC27" s="360">
        <f t="shared" si="12"/>
        <v>7.9157819305818796E-4</v>
      </c>
      <c r="AD27" s="360">
        <f t="shared" si="13"/>
        <v>5.6254572338277541E-2</v>
      </c>
      <c r="AE27" s="360">
        <f t="shared" si="14"/>
        <v>0.63009890966498594</v>
      </c>
      <c r="AF27" s="360">
        <f t="shared" si="15"/>
        <v>5.2880903550570051E-3</v>
      </c>
      <c r="AG27" s="360">
        <f t="shared" si="16"/>
        <v>0.69254279090558679</v>
      </c>
      <c r="AH27" s="360">
        <f t="shared" si="17"/>
        <v>0.8394140498484054</v>
      </c>
      <c r="AI27" s="360">
        <f t="shared" si="18"/>
        <v>1.761539867707253E-3</v>
      </c>
      <c r="AJ27" s="360">
        <f t="shared" si="19"/>
        <v>3.4923290355057E-2</v>
      </c>
      <c r="AK27" s="360">
        <f t="shared" si="20"/>
        <v>3.6694655365714743E-2</v>
      </c>
      <c r="AL27" s="360">
        <f t="shared" si="21"/>
        <v>2.9635199999999997E-2</v>
      </c>
      <c r="AM27" s="360">
        <f t="shared" si="22"/>
        <v>0.47627999999999998</v>
      </c>
      <c r="AN27" s="360">
        <f t="shared" si="23"/>
        <v>8.3654564592593253E-3</v>
      </c>
      <c r="AO27" s="360">
        <f t="shared" si="24"/>
        <v>7.3499999999999998E-4</v>
      </c>
      <c r="AP27" s="360">
        <f t="shared" si="25"/>
        <v>0.34650000000000003</v>
      </c>
      <c r="AQ27" s="360">
        <f t="shared" si="26"/>
        <v>1.3167</v>
      </c>
      <c r="AR27" s="360">
        <f t="shared" si="27"/>
        <v>1.1088</v>
      </c>
      <c r="AS27" s="360">
        <f t="shared" si="28"/>
        <v>0.34723500000000002</v>
      </c>
      <c r="AT27" s="360">
        <f t="shared" si="29"/>
        <v>1.8957850647853856</v>
      </c>
      <c r="AU27">
        <f t="shared" si="30"/>
        <v>2.3759999999999999</v>
      </c>
      <c r="AV27" s="542">
        <f t="shared" si="47"/>
        <v>0.55620775951174173</v>
      </c>
      <c r="AW27" s="551">
        <f t="shared" si="31"/>
        <v>50.344379545279338</v>
      </c>
      <c r="AX27" s="551">
        <f t="shared" si="32"/>
        <v>7.36694810389716</v>
      </c>
      <c r="AY27" s="9"/>
      <c r="AZ27" s="4">
        <f t="shared" si="48"/>
        <v>55.620775951174174</v>
      </c>
      <c r="BA27" s="360">
        <f t="shared" si="33"/>
        <v>0.30428454739492794</v>
      </c>
      <c r="BB27" s="360">
        <f t="shared" si="34"/>
        <v>1.2055174462713014</v>
      </c>
      <c r="BC27" s="360">
        <f t="shared" si="35"/>
        <v>1.0068875909055868</v>
      </c>
      <c r="BD27" s="360">
        <f t="shared" si="36"/>
        <v>0.19386705536571475</v>
      </c>
      <c r="BE27" s="360">
        <f t="shared" si="37"/>
        <v>8.3654564592593253E-3</v>
      </c>
    </row>
    <row r="28" spans="1:65" x14ac:dyDescent="0.2">
      <c r="A28" s="22" t="s">
        <v>126</v>
      </c>
      <c r="B28" s="5">
        <f>RdsonDRT2</f>
        <v>0.5</v>
      </c>
      <c r="C28" s="444" t="s">
        <v>116</v>
      </c>
      <c r="D28" s="440" t="s">
        <v>506</v>
      </c>
      <c r="G28">
        <v>19</v>
      </c>
      <c r="H28" s="548">
        <f t="shared" si="0"/>
        <v>21</v>
      </c>
      <c r="I28" s="4">
        <f t="shared" si="1"/>
        <v>1</v>
      </c>
      <c r="J28" s="360">
        <f t="shared" si="38"/>
        <v>0.76</v>
      </c>
      <c r="K28" s="360">
        <f t="shared" si="2"/>
        <v>0.76</v>
      </c>
      <c r="L28" s="4">
        <f t="shared" si="3"/>
        <v>0.13269841269841268</v>
      </c>
      <c r="M28" s="360">
        <f t="shared" si="4"/>
        <v>0.15773908423447056</v>
      </c>
      <c r="N28" s="4">
        <f t="shared" si="5"/>
        <v>1.9542458628893056</v>
      </c>
      <c r="O28" s="4">
        <f t="shared" si="39"/>
        <v>1.7371229314446528</v>
      </c>
      <c r="P28" s="4">
        <f t="shared" si="40"/>
        <v>-0.21712293144465278</v>
      </c>
      <c r="Q28" s="4">
        <f t="shared" si="6"/>
        <v>2.2699731463110591</v>
      </c>
      <c r="R28" s="4">
        <f t="shared" si="41"/>
        <v>0.9464969137394641</v>
      </c>
      <c r="S28" s="360">
        <f t="shared" si="7"/>
        <v>4.4792820385916527E-3</v>
      </c>
      <c r="T28" s="360">
        <f t="shared" si="8"/>
        <v>0.3</v>
      </c>
      <c r="U28" s="360">
        <f t="shared" si="9"/>
        <v>0.3045884290369395</v>
      </c>
      <c r="V28" s="4">
        <f t="shared" si="42"/>
        <v>0.5641421875009266</v>
      </c>
      <c r="W28" s="360">
        <f t="shared" si="10"/>
        <v>6.3651281543666133E-4</v>
      </c>
      <c r="X28" s="360">
        <f t="shared" si="43"/>
        <v>6.3651281543666133E-4</v>
      </c>
      <c r="Y28" s="4">
        <f t="shared" si="44"/>
        <v>0.34499450983549879</v>
      </c>
      <c r="Z28" s="360">
        <f t="shared" si="11"/>
        <v>1.1902121181663607E-4</v>
      </c>
      <c r="AA28" s="541">
        <f t="shared" si="45"/>
        <v>1.1902121181663607E-4</v>
      </c>
      <c r="AB28" s="360">
        <f t="shared" si="46"/>
        <v>0.3759143111921544</v>
      </c>
      <c r="AC28" s="360">
        <f t="shared" si="12"/>
        <v>8.4786941615443145E-4</v>
      </c>
      <c r="AD28" s="360">
        <f t="shared" si="13"/>
        <v>5.9379826357070738E-2</v>
      </c>
      <c r="AE28" s="360">
        <f t="shared" si="14"/>
        <v>0.63224839974312641</v>
      </c>
      <c r="AF28" s="360">
        <f t="shared" si="15"/>
        <v>4.4683899291309533E-3</v>
      </c>
      <c r="AG28" s="360">
        <f t="shared" si="16"/>
        <v>0.69706268907252389</v>
      </c>
      <c r="AH28" s="360">
        <f t="shared" si="17"/>
        <v>0.86864540426992332</v>
      </c>
      <c r="AI28" s="360">
        <f t="shared" si="18"/>
        <v>1.8863620958981463E-3</v>
      </c>
      <c r="AJ28" s="360">
        <f t="shared" si="19"/>
        <v>3.5749989929130949E-2</v>
      </c>
      <c r="AK28" s="360">
        <f t="shared" si="20"/>
        <v>3.7647146479850117E-2</v>
      </c>
      <c r="AL28" s="360">
        <f t="shared" si="21"/>
        <v>3.12816E-2</v>
      </c>
      <c r="AM28" s="360">
        <f t="shared" si="22"/>
        <v>0.50273999999999996</v>
      </c>
      <c r="AN28" s="360">
        <f t="shared" si="23"/>
        <v>8.9585640771833053E-3</v>
      </c>
      <c r="AO28" s="360">
        <f t="shared" si="24"/>
        <v>7.3499999999999998E-4</v>
      </c>
      <c r="AP28" s="360">
        <f t="shared" si="25"/>
        <v>0.34650000000000003</v>
      </c>
      <c r="AQ28" s="360">
        <f t="shared" si="26"/>
        <v>1.3167</v>
      </c>
      <c r="AR28" s="360">
        <f t="shared" si="27"/>
        <v>1.1088</v>
      </c>
      <c r="AS28" s="360">
        <f t="shared" si="28"/>
        <v>0.34723500000000002</v>
      </c>
      <c r="AT28" s="360">
        <f t="shared" si="29"/>
        <v>1.9302689626937499</v>
      </c>
      <c r="AU28">
        <f t="shared" si="30"/>
        <v>2.508</v>
      </c>
      <c r="AV28" s="542">
        <f t="shared" si="47"/>
        <v>0.56508517646884615</v>
      </c>
      <c r="AW28" s="551">
        <f t="shared" si="31"/>
        <v>51.443554453626192</v>
      </c>
      <c r="AX28" s="551">
        <f t="shared" si="32"/>
        <v>7.7349511662343051</v>
      </c>
      <c r="AY28" s="9"/>
      <c r="AZ28" s="4">
        <f t="shared" si="48"/>
        <v>56.508517646884613</v>
      </c>
      <c r="BA28" s="360">
        <f t="shared" si="33"/>
        <v>0.3045884290369395</v>
      </c>
      <c r="BB28" s="360">
        <f t="shared" si="34"/>
        <v>1.237449835552374</v>
      </c>
      <c r="BC28" s="360">
        <f t="shared" si="35"/>
        <v>1.0288710890725239</v>
      </c>
      <c r="BD28" s="360">
        <f t="shared" si="36"/>
        <v>0.20355134647985013</v>
      </c>
      <c r="BE28" s="360">
        <f t="shared" si="37"/>
        <v>8.9585640771833053E-3</v>
      </c>
    </row>
    <row r="29" spans="1:65" x14ac:dyDescent="0.2">
      <c r="A29" s="24" t="s">
        <v>113</v>
      </c>
      <c r="B29" s="15" t="s">
        <v>111</v>
      </c>
      <c r="C29" s="24" t="s">
        <v>76</v>
      </c>
      <c r="D29" s="17" t="s">
        <v>107</v>
      </c>
      <c r="G29">
        <v>20</v>
      </c>
      <c r="H29" s="548">
        <f t="shared" si="0"/>
        <v>21</v>
      </c>
      <c r="I29" s="4">
        <f t="shared" si="1"/>
        <v>1</v>
      </c>
      <c r="J29" s="360">
        <f t="shared" si="38"/>
        <v>0.8</v>
      </c>
      <c r="K29" s="360">
        <f t="shared" si="2"/>
        <v>0.8</v>
      </c>
      <c r="L29" s="4">
        <f t="shared" si="3"/>
        <v>0.13968253968253969</v>
      </c>
      <c r="M29" s="360">
        <f t="shared" si="4"/>
        <v>0.15777045683925883</v>
      </c>
      <c r="N29" s="4">
        <f t="shared" si="5"/>
        <v>1.9545859285957252</v>
      </c>
      <c r="O29" s="4">
        <f t="shared" si="39"/>
        <v>1.7772929642978625</v>
      </c>
      <c r="P29" s="4">
        <f t="shared" si="40"/>
        <v>-0.17729296429786257</v>
      </c>
      <c r="Q29" s="4">
        <f t="shared" si="6"/>
        <v>1.8535594803749356</v>
      </c>
      <c r="R29" s="4">
        <f t="shared" si="41"/>
        <v>0.97896229720830819</v>
      </c>
      <c r="S29" s="360">
        <f t="shared" si="7"/>
        <v>4.7918358967768398E-3</v>
      </c>
      <c r="T29" s="360">
        <f t="shared" si="8"/>
        <v>0.3</v>
      </c>
      <c r="U29" s="360">
        <f t="shared" si="9"/>
        <v>0.30490872170140798</v>
      </c>
      <c r="V29" s="4">
        <f t="shared" si="42"/>
        <v>0.56424035601449829</v>
      </c>
      <c r="W29" s="360">
        <f t="shared" si="10"/>
        <v>6.3673435871073561E-4</v>
      </c>
      <c r="X29" s="360">
        <f t="shared" si="43"/>
        <v>6.3673435871073561E-4</v>
      </c>
      <c r="Y29" s="4">
        <f t="shared" si="44"/>
        <v>0.35685685466353051</v>
      </c>
      <c r="Z29" s="360">
        <f t="shared" si="11"/>
        <v>1.2734681472034815E-4</v>
      </c>
      <c r="AA29" s="541">
        <f t="shared" si="45"/>
        <v>1.2734681472034815E-4</v>
      </c>
      <c r="AB29" s="360">
        <f t="shared" si="46"/>
        <v>0.3888470492451348</v>
      </c>
      <c r="AC29" s="360">
        <f t="shared" si="12"/>
        <v>9.0721216623988971E-4</v>
      </c>
      <c r="AD29" s="360">
        <f t="shared" si="13"/>
        <v>6.2505080375863942E-2</v>
      </c>
      <c r="AE29" s="360">
        <f t="shared" si="14"/>
        <v>0.63385641345560428</v>
      </c>
      <c r="AF29" s="360">
        <f t="shared" si="15"/>
        <v>3.6486892052500111E-3</v>
      </c>
      <c r="AG29" s="360">
        <f t="shared" si="16"/>
        <v>0.70104459443998868</v>
      </c>
      <c r="AH29" s="360">
        <f t="shared" si="17"/>
        <v>0.89842370385510173</v>
      </c>
      <c r="AI29" s="360">
        <f t="shared" si="18"/>
        <v>2.017912879121799E-3</v>
      </c>
      <c r="AJ29" s="360">
        <f t="shared" si="19"/>
        <v>3.6576689205250007E-2</v>
      </c>
      <c r="AK29" s="360">
        <f t="shared" si="20"/>
        <v>3.8606443559202439E-2</v>
      </c>
      <c r="AL29" s="360">
        <f t="shared" si="21"/>
        <v>3.2927999999999999E-2</v>
      </c>
      <c r="AM29" s="360">
        <f t="shared" si="22"/>
        <v>0.5292</v>
      </c>
      <c r="AN29" s="360">
        <f t="shared" si="23"/>
        <v>9.5836717935536796E-3</v>
      </c>
      <c r="AO29" s="360">
        <f t="shared" si="24"/>
        <v>7.3499999999999998E-4</v>
      </c>
      <c r="AP29" s="360">
        <f t="shared" si="25"/>
        <v>0.34650000000000003</v>
      </c>
      <c r="AQ29" s="360">
        <f t="shared" si="26"/>
        <v>1.3167</v>
      </c>
      <c r="AR29" s="360">
        <f t="shared" si="27"/>
        <v>1.1088</v>
      </c>
      <c r="AS29" s="360">
        <f t="shared" si="28"/>
        <v>0.34723500000000002</v>
      </c>
      <c r="AT29" s="360">
        <f t="shared" si="29"/>
        <v>1.9642705126675837</v>
      </c>
      <c r="AU29">
        <f t="shared" si="30"/>
        <v>2.64</v>
      </c>
      <c r="AV29" s="542">
        <f t="shared" si="47"/>
        <v>0.57338073267777201</v>
      </c>
      <c r="AW29" s="551">
        <f t="shared" si="31"/>
        <v>52.515829721999438</v>
      </c>
      <c r="AX29" s="551">
        <f t="shared" si="32"/>
        <v>8.1032128552496943</v>
      </c>
      <c r="AY29" s="9"/>
      <c r="AZ29" s="4">
        <f t="shared" si="48"/>
        <v>57.338073267777204</v>
      </c>
      <c r="BA29" s="360">
        <f t="shared" si="33"/>
        <v>0.30490872170140798</v>
      </c>
      <c r="BB29" s="360">
        <f t="shared" si="34"/>
        <v>1.2688510379991911</v>
      </c>
      <c r="BC29" s="360">
        <f t="shared" si="35"/>
        <v>1.0503165944399888</v>
      </c>
      <c r="BD29" s="360">
        <f t="shared" si="36"/>
        <v>0.21324244355920247</v>
      </c>
      <c r="BE29" s="360">
        <f t="shared" si="37"/>
        <v>9.5836717935536796E-3</v>
      </c>
    </row>
    <row r="30" spans="1:65" x14ac:dyDescent="0.2">
      <c r="A30" s="22" t="s">
        <v>60</v>
      </c>
      <c r="B30" s="27">
        <f>RdsonDRB</f>
        <v>1</v>
      </c>
      <c r="C30" s="444" t="s">
        <v>116</v>
      </c>
      <c r="D30" s="440" t="s">
        <v>505</v>
      </c>
      <c r="G30">
        <v>21</v>
      </c>
      <c r="H30" s="548">
        <f t="shared" si="0"/>
        <v>21</v>
      </c>
      <c r="I30" s="4">
        <f t="shared" si="1"/>
        <v>1</v>
      </c>
      <c r="J30" s="360">
        <f t="shared" si="38"/>
        <v>0.84</v>
      </c>
      <c r="K30" s="360">
        <f t="shared" si="2"/>
        <v>0.84</v>
      </c>
      <c r="L30" s="4">
        <f t="shared" si="3"/>
        <v>0.14666666666666664</v>
      </c>
      <c r="M30" s="360">
        <f t="shared" si="4"/>
        <v>0.15780182866740361</v>
      </c>
      <c r="N30" s="4">
        <f t="shared" si="5"/>
        <v>1.9549259653474489</v>
      </c>
      <c r="O30" s="4">
        <f t="shared" si="39"/>
        <v>1.8174629826737245</v>
      </c>
      <c r="P30" s="4">
        <f t="shared" si="40"/>
        <v>-0.13746298267372448</v>
      </c>
      <c r="Q30" s="4">
        <f t="shared" si="6"/>
        <v>1.4371456630812807</v>
      </c>
      <c r="R30" s="4">
        <f t="shared" si="41"/>
        <v>1.011967371426802</v>
      </c>
      <c r="S30" s="360">
        <f t="shared" si="7"/>
        <v>5.1203898041623551E-3</v>
      </c>
      <c r="T30" s="360">
        <f t="shared" si="8"/>
        <v>0.3</v>
      </c>
      <c r="U30" s="360">
        <f t="shared" si="9"/>
        <v>0.30524542785028491</v>
      </c>
      <c r="V30" s="4">
        <f t="shared" si="42"/>
        <v>0.56433851616956932</v>
      </c>
      <c r="W30" s="360">
        <f t="shared" si="10"/>
        <v>6.3695592166494253E-4</v>
      </c>
      <c r="X30" s="360">
        <f t="shared" si="43"/>
        <v>6.3695592166494253E-4</v>
      </c>
      <c r="Y30" s="4">
        <f t="shared" si="44"/>
        <v>0.36891785324137566</v>
      </c>
      <c r="Z30" s="360">
        <f t="shared" si="11"/>
        <v>1.3610038244022519E-4</v>
      </c>
      <c r="AA30" s="541">
        <f t="shared" si="45"/>
        <v>1.3610038244022519E-4</v>
      </c>
      <c r="AB30" s="360">
        <f t="shared" si="46"/>
        <v>0.40199673495856864</v>
      </c>
      <c r="AC30" s="360">
        <f t="shared" si="12"/>
        <v>9.696082495040981E-4</v>
      </c>
      <c r="AD30" s="360">
        <f t="shared" si="13"/>
        <v>6.5630334394657139E-2</v>
      </c>
      <c r="AE30" s="360">
        <f t="shared" si="14"/>
        <v>0.63492295021194001</v>
      </c>
      <c r="AF30" s="360">
        <f t="shared" si="15"/>
        <v>2.8289881834252495E-3</v>
      </c>
      <c r="AG30" s="360">
        <f t="shared" si="16"/>
        <v>0.70448849661112545</v>
      </c>
      <c r="AH30" s="360">
        <f t="shared" si="17"/>
        <v>0.92869617524523129</v>
      </c>
      <c r="AI30" s="360">
        <f t="shared" si="18"/>
        <v>2.1561914647878033E-3</v>
      </c>
      <c r="AJ30" s="360">
        <f t="shared" si="19"/>
        <v>3.7403388183425243E-2</v>
      </c>
      <c r="AK30" s="360">
        <f t="shared" si="20"/>
        <v>3.9572549199122148E-2</v>
      </c>
      <c r="AL30" s="360">
        <f t="shared" si="21"/>
        <v>3.4574399999999991E-2</v>
      </c>
      <c r="AM30" s="360">
        <f t="shared" si="22"/>
        <v>0.55565999999999993</v>
      </c>
      <c r="AN30" s="360">
        <f t="shared" si="23"/>
        <v>1.024077960832471E-2</v>
      </c>
      <c r="AO30" s="360">
        <f t="shared" si="24"/>
        <v>7.3499999999999998E-4</v>
      </c>
      <c r="AP30" s="360">
        <f t="shared" si="25"/>
        <v>0.34650000000000003</v>
      </c>
      <c r="AQ30" s="360">
        <f t="shared" si="26"/>
        <v>1.3167</v>
      </c>
      <c r="AR30" s="360">
        <f t="shared" si="27"/>
        <v>1.1088</v>
      </c>
      <c r="AS30" s="360">
        <f t="shared" si="28"/>
        <v>0.34723500000000002</v>
      </c>
      <c r="AT30" s="360">
        <f t="shared" si="29"/>
        <v>1.9977897095729624</v>
      </c>
      <c r="AU30">
        <f t="shared" si="30"/>
        <v>2.7719999999999998</v>
      </c>
      <c r="AV30" s="542">
        <f t="shared" si="47"/>
        <v>0.58115769641512682</v>
      </c>
      <c r="AW30" s="551">
        <f t="shared" si="31"/>
        <v>53.561204830556278</v>
      </c>
      <c r="AX30" s="551">
        <f t="shared" si="32"/>
        <v>8.4717332695666414</v>
      </c>
      <c r="AY30" s="9"/>
      <c r="AZ30" s="4">
        <f t="shared" si="48"/>
        <v>58.115769641512685</v>
      </c>
      <c r="BA30" s="360">
        <f t="shared" si="33"/>
        <v>0.30524542785028491</v>
      </c>
      <c r="BB30" s="360">
        <f t="shared" si="34"/>
        <v>1.2997210458102475</v>
      </c>
      <c r="BC30" s="360">
        <f t="shared" si="35"/>
        <v>1.0712240966111255</v>
      </c>
      <c r="BD30" s="360">
        <f t="shared" si="36"/>
        <v>0.22294034919912215</v>
      </c>
      <c r="BE30" s="360">
        <f t="shared" si="37"/>
        <v>1.024077960832471E-2</v>
      </c>
    </row>
    <row r="31" spans="1:65" x14ac:dyDescent="0.2">
      <c r="A31" s="22" t="s">
        <v>125</v>
      </c>
      <c r="B31" s="27">
        <v>1</v>
      </c>
      <c r="C31" s="444" t="s">
        <v>116</v>
      </c>
      <c r="D31" s="440" t="s">
        <v>504</v>
      </c>
      <c r="G31">
        <v>22</v>
      </c>
      <c r="H31" s="548">
        <f t="shared" si="0"/>
        <v>21</v>
      </c>
      <c r="I31" s="4">
        <f t="shared" si="1"/>
        <v>1</v>
      </c>
      <c r="J31" s="360">
        <f t="shared" si="38"/>
        <v>0.88</v>
      </c>
      <c r="K31" s="360">
        <f t="shared" si="2"/>
        <v>0.88</v>
      </c>
      <c r="L31" s="4">
        <f t="shared" si="3"/>
        <v>0.15365079365079362</v>
      </c>
      <c r="M31" s="360">
        <f t="shared" si="4"/>
        <v>0.1578331997189337</v>
      </c>
      <c r="N31" s="4">
        <f t="shared" si="5"/>
        <v>1.9552659731455511</v>
      </c>
      <c r="O31" s="4">
        <f t="shared" si="39"/>
        <v>1.8576329865727756</v>
      </c>
      <c r="P31" s="4">
        <f t="shared" si="40"/>
        <v>-9.7632986572775526E-2</v>
      </c>
      <c r="Q31" s="4">
        <f t="shared" si="6"/>
        <v>1.0207316944357088</v>
      </c>
      <c r="R31" s="4">
        <f t="shared" si="41"/>
        <v>1.0454610237331032</v>
      </c>
      <c r="S31" s="360">
        <f t="shared" si="7"/>
        <v>5.464943760725342E-3</v>
      </c>
      <c r="T31" s="360">
        <f t="shared" si="8"/>
        <v>0.3</v>
      </c>
      <c r="U31" s="360">
        <f t="shared" si="9"/>
        <v>0.30559855007188547</v>
      </c>
      <c r="V31" s="4">
        <f t="shared" si="42"/>
        <v>0.56443666796644976</v>
      </c>
      <c r="W31" s="360">
        <f t="shared" si="10"/>
        <v>6.3717750429013651E-4</v>
      </c>
      <c r="X31" s="360">
        <f t="shared" si="43"/>
        <v>6.3717750429013651E-4</v>
      </c>
      <c r="Y31" s="4">
        <f t="shared" si="44"/>
        <v>0.38115891779207833</v>
      </c>
      <c r="Z31" s="360">
        <f t="shared" si="11"/>
        <v>1.4528212061242833E-4</v>
      </c>
      <c r="AA31" s="541">
        <f t="shared" si="45"/>
        <v>1.4528212061242833E-4</v>
      </c>
      <c r="AB31" s="360">
        <f t="shared" si="46"/>
        <v>0.41534312562971437</v>
      </c>
      <c r="AC31" s="360">
        <f t="shared" si="12"/>
        <v>1.0350594720471642E-3</v>
      </c>
      <c r="AD31" s="360">
        <f t="shared" si="13"/>
        <v>6.8755588413450336E-2</v>
      </c>
      <c r="AE31" s="360">
        <f t="shared" si="14"/>
        <v>0.63544800942168311</v>
      </c>
      <c r="AF31" s="360">
        <f t="shared" si="15"/>
        <v>2.0092868636677197E-3</v>
      </c>
      <c r="AG31" s="360">
        <f t="shared" si="16"/>
        <v>0.70739438322221371</v>
      </c>
      <c r="AH31" s="360">
        <f t="shared" si="17"/>
        <v>0.95941588486808349</v>
      </c>
      <c r="AI31" s="360">
        <f t="shared" si="18"/>
        <v>2.3011971003430191E-3</v>
      </c>
      <c r="AJ31" s="360">
        <f t="shared" si="19"/>
        <v>3.8230086863667717E-2</v>
      </c>
      <c r="AK31" s="360">
        <f t="shared" si="20"/>
        <v>4.0545466036559792E-2</v>
      </c>
      <c r="AL31" s="360">
        <f t="shared" si="21"/>
        <v>3.6220799999999997E-2</v>
      </c>
      <c r="AM31" s="360">
        <f t="shared" si="22"/>
        <v>0.58211999999999997</v>
      </c>
      <c r="AN31" s="360">
        <f t="shared" si="23"/>
        <v>1.0929887521450684E-2</v>
      </c>
      <c r="AO31" s="360">
        <f t="shared" si="24"/>
        <v>7.3499999999999998E-4</v>
      </c>
      <c r="AP31" s="360">
        <f t="shared" si="25"/>
        <v>0.34650000000000003</v>
      </c>
      <c r="AQ31" s="360">
        <f t="shared" si="26"/>
        <v>1.3167</v>
      </c>
      <c r="AR31" s="360">
        <f t="shared" si="27"/>
        <v>1.1088</v>
      </c>
      <c r="AS31" s="360">
        <f t="shared" si="28"/>
        <v>0.34723500000000002</v>
      </c>
      <c r="AT31" s="360">
        <f t="shared" si="29"/>
        <v>2.0308265464770119</v>
      </c>
      <c r="AU31">
        <f t="shared" si="30"/>
        <v>2.9039999999999999</v>
      </c>
      <c r="AV31" s="542">
        <f t="shared" si="47"/>
        <v>0.5884705313651144</v>
      </c>
      <c r="AW31" s="551">
        <f t="shared" si="31"/>
        <v>54.579679161110683</v>
      </c>
      <c r="AX31" s="551">
        <f t="shared" si="32"/>
        <v>8.8405125093892725</v>
      </c>
      <c r="AY31" s="9"/>
      <c r="AZ31" s="4">
        <f t="shared" si="48"/>
        <v>58.847053136511441</v>
      </c>
      <c r="BA31" s="360">
        <f t="shared" si="33"/>
        <v>0.30559855007188547</v>
      </c>
      <c r="BB31" s="360">
        <f t="shared" si="34"/>
        <v>1.3300598492587734</v>
      </c>
      <c r="BC31" s="360">
        <f t="shared" si="35"/>
        <v>1.0915935832222137</v>
      </c>
      <c r="BD31" s="360">
        <f t="shared" si="36"/>
        <v>0.23264506603655979</v>
      </c>
      <c r="BE31" s="360">
        <f t="shared" si="37"/>
        <v>1.0929887521450684E-2</v>
      </c>
    </row>
    <row r="32" spans="1:65" x14ac:dyDescent="0.2">
      <c r="A32" s="24" t="s">
        <v>62</v>
      </c>
      <c r="B32" s="15" t="s">
        <v>111</v>
      </c>
      <c r="C32" s="24" t="s">
        <v>76</v>
      </c>
      <c r="D32" s="17" t="s">
        <v>107</v>
      </c>
      <c r="G32">
        <v>23</v>
      </c>
      <c r="H32" s="548">
        <f t="shared" si="0"/>
        <v>21</v>
      </c>
      <c r="I32" s="4">
        <f t="shared" si="1"/>
        <v>1</v>
      </c>
      <c r="J32" s="360">
        <f t="shared" si="38"/>
        <v>0.92</v>
      </c>
      <c r="K32" s="360">
        <f t="shared" si="2"/>
        <v>0.92</v>
      </c>
      <c r="L32" s="4">
        <f t="shared" si="3"/>
        <v>0.16063492063492063</v>
      </c>
      <c r="M32" s="360">
        <f t="shared" si="4"/>
        <v>0.15786456999387791</v>
      </c>
      <c r="N32" s="4">
        <f t="shared" si="5"/>
        <v>1.9556059519911069</v>
      </c>
      <c r="O32" s="4">
        <f t="shared" si="39"/>
        <v>1.8978029759955535</v>
      </c>
      <c r="P32" s="4">
        <f t="shared" si="40"/>
        <v>-5.7802975995553396E-2</v>
      </c>
      <c r="Q32" s="4">
        <f t="shared" si="6"/>
        <v>0.60431757444384104</v>
      </c>
      <c r="R32" s="4">
        <f t="shared" si="41"/>
        <v>1.0793977734313644</v>
      </c>
      <c r="S32" s="360">
        <f t="shared" si="7"/>
        <v>5.8254977664429367E-3</v>
      </c>
      <c r="T32" s="360">
        <f t="shared" si="8"/>
        <v>0.3</v>
      </c>
      <c r="U32" s="360">
        <f t="shared" si="9"/>
        <v>0.30596809108093848</v>
      </c>
      <c r="V32" s="4">
        <f t="shared" si="42"/>
        <v>0.56453481140545003</v>
      </c>
      <c r="W32" s="360">
        <f t="shared" si="10"/>
        <v>6.3739910657717403E-4</v>
      </c>
      <c r="X32" s="360">
        <f t="shared" si="43"/>
        <v>6.3739910657717403E-4</v>
      </c>
      <c r="Y32" s="4">
        <f t="shared" si="44"/>
        <v>0.39356350799479056</v>
      </c>
      <c r="Z32" s="360">
        <f t="shared" si="11"/>
        <v>1.5489223482516556E-4</v>
      </c>
      <c r="AA32" s="541">
        <f t="shared" si="45"/>
        <v>1.5489223482516556E-4</v>
      </c>
      <c r="AB32" s="360">
        <f t="shared" si="46"/>
        <v>0.42886820817118404</v>
      </c>
      <c r="AC32" s="360">
        <f t="shared" si="12"/>
        <v>1.1035676398797722E-3</v>
      </c>
      <c r="AD32" s="360">
        <f t="shared" si="13"/>
        <v>7.1880842432243519E-2</v>
      </c>
      <c r="AE32" s="360">
        <f t="shared" si="14"/>
        <v>0.63543159049441322</v>
      </c>
      <c r="AF32" s="360">
        <f t="shared" si="15"/>
        <v>1.1895852459884889E-3</v>
      </c>
      <c r="AG32" s="360">
        <f t="shared" si="16"/>
        <v>0.70976223994052623</v>
      </c>
      <c r="AH32" s="360">
        <f t="shared" si="17"/>
        <v>0.99054107098525956</v>
      </c>
      <c r="AI32" s="360">
        <f t="shared" si="18"/>
        <v>2.4529290332715625E-3</v>
      </c>
      <c r="AJ32" s="360">
        <f t="shared" si="19"/>
        <v>3.9056785245988483E-2</v>
      </c>
      <c r="AK32" s="360">
        <f t="shared" si="20"/>
        <v>4.1525196750089581E-2</v>
      </c>
      <c r="AL32" s="360">
        <f t="shared" si="21"/>
        <v>3.7867199999999997E-2</v>
      </c>
      <c r="AM32" s="360">
        <f t="shared" si="22"/>
        <v>0.60858000000000001</v>
      </c>
      <c r="AN32" s="360">
        <f t="shared" si="23"/>
        <v>1.1650995532885873E-2</v>
      </c>
      <c r="AO32" s="360">
        <f t="shared" si="24"/>
        <v>7.3499999999999998E-4</v>
      </c>
      <c r="AP32" s="360">
        <f t="shared" si="25"/>
        <v>0.34650000000000003</v>
      </c>
      <c r="AQ32" s="360">
        <f t="shared" si="26"/>
        <v>1.3167</v>
      </c>
      <c r="AR32" s="360">
        <f t="shared" si="27"/>
        <v>1.1088</v>
      </c>
      <c r="AS32" s="360">
        <f t="shared" si="28"/>
        <v>0.34723500000000002</v>
      </c>
      <c r="AT32" s="360">
        <f t="shared" si="29"/>
        <v>2.0633810146458424</v>
      </c>
      <c r="AU32">
        <f t="shared" si="30"/>
        <v>3.036</v>
      </c>
      <c r="AV32" s="542">
        <f t="shared" si="47"/>
        <v>0.59536637707211082</v>
      </c>
      <c r="AW32" s="551">
        <f t="shared" si="31"/>
        <v>55.571251997026316</v>
      </c>
      <c r="AX32" s="551">
        <f t="shared" si="32"/>
        <v>9.2095506765034045</v>
      </c>
      <c r="AY32" s="9"/>
      <c r="AZ32" s="4">
        <f t="shared" si="48"/>
        <v>59.536637707211085</v>
      </c>
      <c r="BA32" s="360">
        <f t="shared" si="33"/>
        <v>0.30596809108093848</v>
      </c>
      <c r="BB32" s="360">
        <f t="shared" si="34"/>
        <v>1.3598674366906158</v>
      </c>
      <c r="BC32" s="360">
        <f t="shared" si="35"/>
        <v>1.1114250399405263</v>
      </c>
      <c r="BD32" s="360">
        <f t="shared" si="36"/>
        <v>0.24235659675008961</v>
      </c>
      <c r="BE32" s="360">
        <f t="shared" si="37"/>
        <v>1.1650995532885873E-2</v>
      </c>
    </row>
    <row r="33" spans="1:57" x14ac:dyDescent="0.2">
      <c r="A33" s="22" t="s">
        <v>62</v>
      </c>
      <c r="B33" s="5">
        <f>Deadtime*1000000000</f>
        <v>14</v>
      </c>
      <c r="C33" s="440" t="s">
        <v>75</v>
      </c>
      <c r="D33" s="21" t="s">
        <v>98</v>
      </c>
      <c r="G33">
        <v>24</v>
      </c>
      <c r="H33" s="548">
        <f t="shared" si="0"/>
        <v>21</v>
      </c>
      <c r="I33" s="4">
        <f t="shared" si="1"/>
        <v>1</v>
      </c>
      <c r="J33" s="360">
        <f t="shared" si="38"/>
        <v>0.96</v>
      </c>
      <c r="K33" s="360">
        <f t="shared" si="2"/>
        <v>0.96</v>
      </c>
      <c r="L33" s="4">
        <f t="shared" si="3"/>
        <v>0.16761904761904758</v>
      </c>
      <c r="M33" s="360">
        <f t="shared" si="4"/>
        <v>0.15789593949226516</v>
      </c>
      <c r="N33" s="4">
        <f t="shared" si="5"/>
        <v>1.9559459018851921</v>
      </c>
      <c r="O33" s="4">
        <f t="shared" si="39"/>
        <v>1.937972950942596</v>
      </c>
      <c r="P33" s="4">
        <f t="shared" si="40"/>
        <v>-1.79729509425961E-2</v>
      </c>
      <c r="Q33" s="4">
        <f t="shared" si="6"/>
        <v>0.18790330311130268</v>
      </c>
      <c r="R33" s="4">
        <f t="shared" si="41"/>
        <v>1.1137371163153613</v>
      </c>
      <c r="S33" s="360">
        <f t="shared" si="7"/>
        <v>6.2020518212922843E-3</v>
      </c>
      <c r="T33" s="360">
        <f t="shared" si="8"/>
        <v>0.3</v>
      </c>
      <c r="U33" s="360">
        <f t="shared" si="9"/>
        <v>0.30635405371863839</v>
      </c>
      <c r="V33" s="4">
        <f t="shared" si="42"/>
        <v>0.56463294648688056</v>
      </c>
      <c r="W33" s="360">
        <f t="shared" si="10"/>
        <v>6.3762072851691312E-4</v>
      </c>
      <c r="X33" s="360">
        <f t="shared" si="43"/>
        <v>6.3762072851691312E-4</v>
      </c>
      <c r="Y33" s="4">
        <f t="shared" si="44"/>
        <v>0.40611689280144148</v>
      </c>
      <c r="Z33" s="360">
        <f t="shared" si="11"/>
        <v>1.6493093061869751E-4</v>
      </c>
      <c r="AA33" s="541">
        <f t="shared" si="45"/>
        <v>1.6493093061869751E-4</v>
      </c>
      <c r="AB33" s="360">
        <f t="shared" si="46"/>
        <v>0.44255593976415214</v>
      </c>
      <c r="AC33" s="360">
        <f t="shared" si="12"/>
        <v>1.1751345589231911E-3</v>
      </c>
      <c r="AD33" s="360">
        <f t="shared" si="13"/>
        <v>7.5006096451036716E-2</v>
      </c>
      <c r="AE33" s="360">
        <f t="shared" si="14"/>
        <v>0.63487369283973816</v>
      </c>
      <c r="AF33" s="360">
        <f t="shared" si="15"/>
        <v>3.6988333039862772E-4</v>
      </c>
      <c r="AG33" s="360">
        <f t="shared" si="16"/>
        <v>0.71159205046216734</v>
      </c>
      <c r="AH33" s="360">
        <f t="shared" si="17"/>
        <v>1.0220345417048902</v>
      </c>
      <c r="AI33" s="360">
        <f t="shared" si="18"/>
        <v>2.6113865110948121E-3</v>
      </c>
      <c r="AJ33" s="360">
        <f t="shared" si="19"/>
        <v>3.9883483330398622E-2</v>
      </c>
      <c r="AK33" s="360">
        <f t="shared" si="20"/>
        <v>4.2511744059933618E-2</v>
      </c>
      <c r="AL33" s="360">
        <f t="shared" si="21"/>
        <v>3.9513599999999996E-2</v>
      </c>
      <c r="AM33" s="360">
        <f t="shared" si="22"/>
        <v>0.63503999999999994</v>
      </c>
      <c r="AN33" s="360">
        <f t="shared" si="23"/>
        <v>1.2404103642584569E-2</v>
      </c>
      <c r="AO33" s="360">
        <f t="shared" si="24"/>
        <v>7.3499999999999998E-4</v>
      </c>
      <c r="AP33" s="360">
        <f t="shared" si="25"/>
        <v>0.34650000000000003</v>
      </c>
      <c r="AQ33" s="360">
        <f t="shared" si="26"/>
        <v>1.3167</v>
      </c>
      <c r="AR33" s="360">
        <f t="shared" si="27"/>
        <v>1.1088</v>
      </c>
      <c r="AS33" s="360">
        <f t="shared" si="28"/>
        <v>0.34723500000000002</v>
      </c>
      <c r="AT33" s="360">
        <f t="shared" si="29"/>
        <v>2.0954531035424595</v>
      </c>
      <c r="AU33">
        <f t="shared" si="30"/>
        <v>3.1679999999999997</v>
      </c>
      <c r="AV33" s="542">
        <f t="shared" si="47"/>
        <v>0.60188624039755234</v>
      </c>
      <c r="AW33" s="551">
        <f t="shared" si="31"/>
        <v>56.535922523108361</v>
      </c>
      <c r="AX33" s="551">
        <f t="shared" si="32"/>
        <v>9.5788478742774767</v>
      </c>
      <c r="AY33" s="9"/>
      <c r="AZ33" s="4">
        <f t="shared" si="48"/>
        <v>60.188624039755233</v>
      </c>
      <c r="BA33" s="360">
        <f t="shared" si="33"/>
        <v>0.30635405371863839</v>
      </c>
      <c r="BB33" s="360">
        <f t="shared" si="34"/>
        <v>1.3891437945221008</v>
      </c>
      <c r="BC33" s="360">
        <f t="shared" si="35"/>
        <v>1.1307184504621672</v>
      </c>
      <c r="BD33" s="360">
        <f t="shared" si="36"/>
        <v>0.25207494405993358</v>
      </c>
      <c r="BE33" s="360">
        <f t="shared" si="37"/>
        <v>1.2404103642584569E-2</v>
      </c>
    </row>
    <row r="34" spans="1:57" x14ac:dyDescent="0.2">
      <c r="A34" s="24" t="s">
        <v>52</v>
      </c>
      <c r="B34" s="15" t="s">
        <v>111</v>
      </c>
      <c r="C34" s="24" t="s">
        <v>76</v>
      </c>
      <c r="D34" s="17" t="s">
        <v>107</v>
      </c>
      <c r="G34">
        <v>25</v>
      </c>
      <c r="H34" s="548">
        <f t="shared" si="0"/>
        <v>21</v>
      </c>
      <c r="I34" s="4">
        <f t="shared" si="1"/>
        <v>1</v>
      </c>
      <c r="J34" s="360">
        <f t="shared" si="38"/>
        <v>1</v>
      </c>
      <c r="K34" s="360">
        <f t="shared" si="2"/>
        <v>1</v>
      </c>
      <c r="L34" s="4">
        <f t="shared" si="3"/>
        <v>0.17460317460317457</v>
      </c>
      <c r="M34" s="360">
        <f t="shared" si="4"/>
        <v>0.15792730821412421</v>
      </c>
      <c r="N34" s="4">
        <f t="shared" si="5"/>
        <v>1.9562858228288815</v>
      </c>
      <c r="O34" s="4">
        <f t="shared" si="39"/>
        <v>1.9781429114144409</v>
      </c>
      <c r="P34" s="4">
        <f t="shared" si="40"/>
        <v>2.1857088585559237E-2</v>
      </c>
      <c r="Q34" s="4">
        <f t="shared" si="6"/>
        <v>0</v>
      </c>
      <c r="R34" s="4">
        <f t="shared" si="41"/>
        <v>1.1484429393966886</v>
      </c>
      <c r="S34" s="360">
        <f t="shared" si="7"/>
        <v>6.5946059252505306E-3</v>
      </c>
      <c r="T34" s="360">
        <f t="shared" si="8"/>
        <v>0.3</v>
      </c>
      <c r="U34" s="360">
        <f t="shared" si="9"/>
        <v>0.30675644095269972</v>
      </c>
      <c r="V34" s="4">
        <f t="shared" si="42"/>
        <v>0.56473107321105165</v>
      </c>
      <c r="W34" s="360">
        <f t="shared" si="10"/>
        <v>6.3784237010021242E-4</v>
      </c>
      <c r="X34" s="360">
        <f t="shared" si="43"/>
        <v>6.3784237010021242E-4</v>
      </c>
      <c r="Y34" s="4">
        <f t="shared" si="44"/>
        <v>0.41880593773887997</v>
      </c>
      <c r="Z34" s="360">
        <f t="shared" si="11"/>
        <v>1.7539841348534259E-4</v>
      </c>
      <c r="AA34" s="541">
        <f t="shared" si="45"/>
        <v>1.7539841348534259E-4</v>
      </c>
      <c r="AB34" s="360">
        <f t="shared" si="46"/>
        <v>0.45639201625526499</v>
      </c>
      <c r="AC34" s="360">
        <f t="shared" si="12"/>
        <v>1.2497620350092765E-3</v>
      </c>
      <c r="AD34" s="360">
        <f t="shared" si="13"/>
        <v>7.8131350469829913E-2</v>
      </c>
      <c r="AE34" s="360">
        <f t="shared" si="14"/>
        <v>0.63444464999999983</v>
      </c>
      <c r="AF34" s="360">
        <f t="shared" si="15"/>
        <v>0</v>
      </c>
      <c r="AG34" s="360">
        <f t="shared" si="16"/>
        <v>0.71400422958063214</v>
      </c>
      <c r="AH34" s="360">
        <f t="shared" si="17"/>
        <v>1.053863137484446</v>
      </c>
      <c r="AI34" s="360">
        <f t="shared" si="18"/>
        <v>2.7765687813714013E-3</v>
      </c>
      <c r="AJ34" s="360">
        <f t="shared" si="19"/>
        <v>4.1159999999999995E-2</v>
      </c>
      <c r="AK34" s="360">
        <f t="shared" si="20"/>
        <v>4.395511953209788E-2</v>
      </c>
      <c r="AL34" s="360">
        <f t="shared" si="21"/>
        <v>4.1159999999999995E-2</v>
      </c>
      <c r="AM34" s="360">
        <f t="shared" si="22"/>
        <v>0.66149999999999998</v>
      </c>
      <c r="AN34" s="360">
        <f t="shared" si="23"/>
        <v>1.3189211850501061E-2</v>
      </c>
      <c r="AO34" s="360">
        <f t="shared" si="24"/>
        <v>7.3499999999999998E-4</v>
      </c>
      <c r="AP34" s="360">
        <f t="shared" si="25"/>
        <v>0.34650000000000003</v>
      </c>
      <c r="AQ34" s="360">
        <f t="shared" si="26"/>
        <v>1.3167</v>
      </c>
      <c r="AR34" s="360">
        <f t="shared" si="27"/>
        <v>1.1088</v>
      </c>
      <c r="AS34" s="360">
        <f t="shared" si="28"/>
        <v>0.34723500000000002</v>
      </c>
      <c r="AT34" s="360">
        <f t="shared" si="29"/>
        <v>2.128613242699517</v>
      </c>
      <c r="AU34">
        <f t="shared" si="30"/>
        <v>3.3</v>
      </c>
      <c r="AV34" s="542">
        <f t="shared" si="47"/>
        <v>0.60789005450662581</v>
      </c>
      <c r="AW34" s="551">
        <f t="shared" si="31"/>
        <v>57.529711479031612</v>
      </c>
      <c r="AX34" s="551">
        <f t="shared" si="32"/>
        <v>9.965504542219719</v>
      </c>
      <c r="AY34" s="9"/>
      <c r="AZ34" s="4">
        <f t="shared" si="48"/>
        <v>60.789005450662579</v>
      </c>
      <c r="BA34" s="360">
        <f t="shared" si="33"/>
        <v>0.30675644095269972</v>
      </c>
      <c r="BB34" s="360">
        <f t="shared" si="34"/>
        <v>1.4194593491127301</v>
      </c>
      <c r="BC34" s="360">
        <f t="shared" si="35"/>
        <v>1.1505942295806322</v>
      </c>
      <c r="BD34" s="360">
        <f t="shared" si="36"/>
        <v>0.26225011953209787</v>
      </c>
      <c r="BE34" s="360">
        <f t="shared" si="37"/>
        <v>1.3189211850501061E-2</v>
      </c>
    </row>
    <row r="35" spans="1:57" x14ac:dyDescent="0.2">
      <c r="A35" s="22" t="s">
        <v>128</v>
      </c>
      <c r="B35" s="5">
        <f>Iq*1000</f>
        <v>3.4999999999999996E-2</v>
      </c>
      <c r="C35" s="440" t="s">
        <v>64</v>
      </c>
      <c r="D35" s="21" t="s">
        <v>131</v>
      </c>
      <c r="G35">
        <v>26</v>
      </c>
      <c r="H35" s="548">
        <f t="shared" si="0"/>
        <v>21</v>
      </c>
      <c r="I35" s="4">
        <f t="shared" si="1"/>
        <v>1</v>
      </c>
      <c r="J35" s="360">
        <f t="shared" si="38"/>
        <v>1.04</v>
      </c>
      <c r="K35" s="360">
        <f t="shared" si="2"/>
        <v>1.04</v>
      </c>
      <c r="L35" s="4">
        <f t="shared" si="3"/>
        <v>0.18158730158730158</v>
      </c>
      <c r="M35" s="360">
        <f t="shared" si="4"/>
        <v>0.15795867615948389</v>
      </c>
      <c r="N35" s="4">
        <f t="shared" si="5"/>
        <v>1.9566257148232493</v>
      </c>
      <c r="O35" s="4">
        <f t="shared" si="39"/>
        <v>2.0183128574116247</v>
      </c>
      <c r="P35" s="4">
        <f t="shared" si="40"/>
        <v>6.1687142588375377E-2</v>
      </c>
      <c r="Q35" s="4">
        <f t="shared" si="6"/>
        <v>0</v>
      </c>
      <c r="R35" s="4">
        <f t="shared" si="41"/>
        <v>1.183483001846231</v>
      </c>
      <c r="S35" s="360">
        <f t="shared" si="7"/>
        <v>7.0031600782948303E-3</v>
      </c>
      <c r="T35" s="360">
        <f t="shared" si="8"/>
        <v>0.3</v>
      </c>
      <c r="U35" s="360">
        <f t="shared" si="9"/>
        <v>0.3071752558774149</v>
      </c>
      <c r="V35" s="4">
        <f t="shared" si="42"/>
        <v>0.56482919157827349</v>
      </c>
      <c r="W35" s="360">
        <f t="shared" si="10"/>
        <v>6.3806403131793201E-4</v>
      </c>
      <c r="X35" s="360">
        <f t="shared" si="43"/>
        <v>6.3806403131793201E-4</v>
      </c>
      <c r="Y35" s="4">
        <f t="shared" si="44"/>
        <v>0.43161891625539539</v>
      </c>
      <c r="Z35" s="360">
        <f t="shared" si="11"/>
        <v>1.8629488886948202E-4</v>
      </c>
      <c r="AA35" s="541">
        <f t="shared" si="45"/>
        <v>1.8629488886948202E-4</v>
      </c>
      <c r="AB35" s="360">
        <f t="shared" si="46"/>
        <v>0.4703636667304138</v>
      </c>
      <c r="AC35" s="360">
        <f t="shared" si="12"/>
        <v>1.3274518738804787E-3</v>
      </c>
      <c r="AD35" s="360">
        <f t="shared" si="13"/>
        <v>8.125660448862311E-2</v>
      </c>
      <c r="AE35" s="360">
        <f t="shared" si="14"/>
        <v>0.63444464999999983</v>
      </c>
      <c r="AF35" s="360">
        <f t="shared" si="15"/>
        <v>0</v>
      </c>
      <c r="AG35" s="360">
        <f t="shared" si="16"/>
        <v>0.71721912113577035</v>
      </c>
      <c r="AH35" s="360">
        <f t="shared" si="17"/>
        <v>1.0859972544527385</v>
      </c>
      <c r="AI35" s="360">
        <f t="shared" si="18"/>
        <v>2.9484750916972152E-3</v>
      </c>
      <c r="AJ35" s="360">
        <f t="shared" si="19"/>
        <v>4.2806399999999994E-2</v>
      </c>
      <c r="AK35" s="360">
        <f t="shared" si="20"/>
        <v>4.5775390166550474E-2</v>
      </c>
      <c r="AL35" s="360">
        <f t="shared" si="21"/>
        <v>4.2806399999999994E-2</v>
      </c>
      <c r="AM35" s="360">
        <f t="shared" si="22"/>
        <v>0.68796000000000013</v>
      </c>
      <c r="AN35" s="360">
        <f t="shared" si="23"/>
        <v>1.4006320156589661E-2</v>
      </c>
      <c r="AO35" s="360">
        <f t="shared" si="24"/>
        <v>7.3499999999999998E-4</v>
      </c>
      <c r="AP35" s="360">
        <f t="shared" si="25"/>
        <v>0.34650000000000003</v>
      </c>
      <c r="AQ35" s="360">
        <f t="shared" si="26"/>
        <v>1.3167</v>
      </c>
      <c r="AR35" s="360">
        <f t="shared" si="27"/>
        <v>1.1088</v>
      </c>
      <c r="AS35" s="360">
        <f t="shared" si="28"/>
        <v>0.34723500000000002</v>
      </c>
      <c r="AT35" s="360">
        <f t="shared" si="29"/>
        <v>2.1630018462565133</v>
      </c>
      <c r="AU35">
        <f t="shared" si="30"/>
        <v>3.4319999999999999</v>
      </c>
      <c r="AV35" s="542">
        <f t="shared" si="47"/>
        <v>0.61340462332398904</v>
      </c>
      <c r="AW35" s="551">
        <f t="shared" si="31"/>
        <v>58.563636056788525</v>
      </c>
      <c r="AX35" s="551">
        <f t="shared" si="32"/>
        <v>10.366483226328921</v>
      </c>
      <c r="AY35" s="9"/>
      <c r="AZ35" s="4">
        <f t="shared" si="48"/>
        <v>61.340462332398907</v>
      </c>
      <c r="BA35" s="360">
        <f t="shared" si="33"/>
        <v>0.3071752558774149</v>
      </c>
      <c r="BB35" s="360">
        <f t="shared" si="34"/>
        <v>1.450954511302321</v>
      </c>
      <c r="BC35" s="360">
        <f t="shared" si="35"/>
        <v>1.1712727211357705</v>
      </c>
      <c r="BD35" s="360">
        <f t="shared" si="36"/>
        <v>0.27280219016655055</v>
      </c>
      <c r="BE35" s="360">
        <f t="shared" si="37"/>
        <v>1.4006320156589661E-2</v>
      </c>
    </row>
    <row r="36" spans="1:57" x14ac:dyDescent="0.2">
      <c r="A36" s="24" t="s">
        <v>525</v>
      </c>
      <c r="B36" s="15" t="s">
        <v>111</v>
      </c>
      <c r="C36" s="24" t="s">
        <v>76</v>
      </c>
      <c r="D36" s="17" t="s">
        <v>107</v>
      </c>
      <c r="G36">
        <v>27</v>
      </c>
      <c r="H36" s="548">
        <f t="shared" si="0"/>
        <v>21</v>
      </c>
      <c r="I36" s="4">
        <f t="shared" si="1"/>
        <v>1</v>
      </c>
      <c r="J36" s="360">
        <f t="shared" si="38"/>
        <v>1.08</v>
      </c>
      <c r="K36" s="360">
        <f t="shared" si="2"/>
        <v>1.08</v>
      </c>
      <c r="L36" s="4">
        <f t="shared" si="3"/>
        <v>0.18857142857142856</v>
      </c>
      <c r="M36" s="360">
        <f t="shared" si="4"/>
        <v>0.15799004332837308</v>
      </c>
      <c r="N36" s="4">
        <f t="shared" si="5"/>
        <v>1.9569655778693711</v>
      </c>
      <c r="O36" s="4">
        <f t="shared" si="39"/>
        <v>2.0584827889346857</v>
      </c>
      <c r="P36" s="4">
        <f t="shared" si="40"/>
        <v>0.10151721106531453</v>
      </c>
      <c r="Q36" s="4">
        <f t="shared" si="6"/>
        <v>0</v>
      </c>
      <c r="R36" s="4">
        <f t="shared" si="41"/>
        <v>1.2188284768910131</v>
      </c>
      <c r="S36" s="360">
        <f t="shared" si="7"/>
        <v>7.4277142804023344E-3</v>
      </c>
      <c r="T36" s="360">
        <f t="shared" si="8"/>
        <v>0.3</v>
      </c>
      <c r="U36" s="360">
        <f t="shared" si="9"/>
        <v>0.30761050171371279</v>
      </c>
      <c r="V36" s="4">
        <f t="shared" si="42"/>
        <v>0.56492730158885651</v>
      </c>
      <c r="W36" s="360">
        <f t="shared" si="10"/>
        <v>6.3828571216093368E-4</v>
      </c>
      <c r="X36" s="360">
        <f t="shared" si="43"/>
        <v>6.3828571216093368E-4</v>
      </c>
      <c r="Y36" s="4">
        <f t="shared" si="44"/>
        <v>0.44454534320760325</v>
      </c>
      <c r="Z36" s="360">
        <f t="shared" si="11"/>
        <v>1.9762056216756578E-4</v>
      </c>
      <c r="AA36" s="541">
        <f t="shared" si="45"/>
        <v>1.9762056216756578E-4</v>
      </c>
      <c r="AB36" s="360">
        <f t="shared" si="46"/>
        <v>0.48445947219381325</v>
      </c>
      <c r="AC36" s="360">
        <f t="shared" si="12"/>
        <v>1.4082058811898486E-3</v>
      </c>
      <c r="AD36" s="360">
        <f t="shared" si="13"/>
        <v>8.4381858507416307E-2</v>
      </c>
      <c r="AE36" s="360">
        <f t="shared" si="14"/>
        <v>0.63444464999999983</v>
      </c>
      <c r="AF36" s="360">
        <f t="shared" si="15"/>
        <v>0</v>
      </c>
      <c r="AG36" s="360">
        <f t="shared" si="16"/>
        <v>0.72043761928710803</v>
      </c>
      <c r="AH36" s="360">
        <f t="shared" si="17"/>
        <v>1.118410423718484</v>
      </c>
      <c r="AI36" s="360">
        <f t="shared" si="18"/>
        <v>3.1271046897053973E-3</v>
      </c>
      <c r="AJ36" s="360">
        <f t="shared" si="19"/>
        <v>4.4452800000000001E-2</v>
      </c>
      <c r="AK36" s="360">
        <f t="shared" si="20"/>
        <v>4.7602531120648398E-2</v>
      </c>
      <c r="AL36" s="360">
        <f t="shared" si="21"/>
        <v>4.4452800000000001E-2</v>
      </c>
      <c r="AM36" s="360">
        <f t="shared" si="22"/>
        <v>0.71442000000000005</v>
      </c>
      <c r="AN36" s="360">
        <f t="shared" si="23"/>
        <v>1.4855428560804669E-2</v>
      </c>
      <c r="AO36" s="360">
        <f t="shared" si="24"/>
        <v>7.3499999999999998E-4</v>
      </c>
      <c r="AP36" s="360">
        <f t="shared" si="25"/>
        <v>0.34650000000000003</v>
      </c>
      <c r="AQ36" s="360">
        <f t="shared" si="26"/>
        <v>1.3167</v>
      </c>
      <c r="AR36" s="360">
        <f t="shared" si="27"/>
        <v>1.1088</v>
      </c>
      <c r="AS36" s="360">
        <f t="shared" si="28"/>
        <v>0.34723500000000002</v>
      </c>
      <c r="AT36" s="360">
        <f t="shared" si="29"/>
        <v>2.1974497869566023</v>
      </c>
      <c r="AU36">
        <f t="shared" si="30"/>
        <v>3.5640000000000001</v>
      </c>
      <c r="AV36" s="542">
        <f t="shared" si="47"/>
        <v>0.6185943003562353</v>
      </c>
      <c r="AW36" s="551">
        <f t="shared" si="31"/>
        <v>59.597740964355403</v>
      </c>
      <c r="AX36" s="551">
        <f t="shared" si="32"/>
        <v>10.76772298258464</v>
      </c>
      <c r="AY36" s="9"/>
      <c r="AZ36" s="4">
        <f t="shared" si="48"/>
        <v>61.859430035623532</v>
      </c>
      <c r="BA36" s="360">
        <f t="shared" si="33"/>
        <v>0.30761050171371279</v>
      </c>
      <c r="BB36" s="360">
        <f t="shared" si="34"/>
        <v>1.4824601504077566</v>
      </c>
      <c r="BC36" s="360">
        <f t="shared" si="35"/>
        <v>1.1919548192871081</v>
      </c>
      <c r="BD36" s="360">
        <f t="shared" si="36"/>
        <v>0.28336113112064842</v>
      </c>
      <c r="BE36" s="360">
        <f t="shared" si="37"/>
        <v>1.4855428560804669E-2</v>
      </c>
    </row>
    <row r="37" spans="1:57" x14ac:dyDescent="0.2">
      <c r="A37" s="23" t="s">
        <v>71</v>
      </c>
      <c r="B37" s="5">
        <f>Rdson1*1000</f>
        <v>6</v>
      </c>
      <c r="C37" s="442" t="s">
        <v>466</v>
      </c>
      <c r="D37" s="440" t="s">
        <v>528</v>
      </c>
      <c r="G37">
        <v>28</v>
      </c>
      <c r="H37" s="548">
        <f t="shared" si="0"/>
        <v>21</v>
      </c>
      <c r="I37" s="4">
        <f t="shared" si="1"/>
        <v>1</v>
      </c>
      <c r="J37" s="360">
        <f t="shared" si="38"/>
        <v>1.1200000000000001</v>
      </c>
      <c r="K37" s="360">
        <f t="shared" si="2"/>
        <v>1.1200000000000001</v>
      </c>
      <c r="L37" s="4">
        <f t="shared" si="3"/>
        <v>0.19555555555555554</v>
      </c>
      <c r="M37" s="360">
        <f t="shared" si="4"/>
        <v>0.15802140972082057</v>
      </c>
      <c r="N37" s="4">
        <f t="shared" si="5"/>
        <v>1.9573054119683218</v>
      </c>
      <c r="O37" s="4">
        <f t="shared" si="39"/>
        <v>2.0986527059841609</v>
      </c>
      <c r="P37" s="4">
        <f t="shared" si="40"/>
        <v>0.14134729401583923</v>
      </c>
      <c r="Q37" s="4">
        <f t="shared" si="6"/>
        <v>0</v>
      </c>
      <c r="R37" s="4">
        <f t="shared" si="41"/>
        <v>1.254453548884948</v>
      </c>
      <c r="S37" s="360">
        <f t="shared" si="7"/>
        <v>7.8682685315502026E-3</v>
      </c>
      <c r="T37" s="360">
        <f t="shared" si="8"/>
        <v>0.3</v>
      </c>
      <c r="U37" s="360">
        <f t="shared" si="9"/>
        <v>0.3080621818092214</v>
      </c>
      <c r="V37" s="4">
        <f t="shared" si="42"/>
        <v>0.56502540324311101</v>
      </c>
      <c r="W37" s="360">
        <f t="shared" si="10"/>
        <v>6.3850741262008043E-4</v>
      </c>
      <c r="X37" s="360">
        <f t="shared" si="43"/>
        <v>6.3850741262008043E-4</v>
      </c>
      <c r="Y37" s="4">
        <f t="shared" si="44"/>
        <v>0.45757582839144506</v>
      </c>
      <c r="Z37" s="360">
        <f t="shared" si="11"/>
        <v>2.093756387281172E-4</v>
      </c>
      <c r="AA37" s="541">
        <f t="shared" si="45"/>
        <v>2.093756387281172E-4</v>
      </c>
      <c r="AB37" s="360">
        <f t="shared" si="46"/>
        <v>0.49866920607102538</v>
      </c>
      <c r="AC37" s="360">
        <f t="shared" si="12"/>
        <v>1.4920258625010408E-3</v>
      </c>
      <c r="AD37" s="360">
        <f t="shared" si="13"/>
        <v>8.7507112526209518E-2</v>
      </c>
      <c r="AE37" s="360">
        <f t="shared" si="14"/>
        <v>0.63444464999999983</v>
      </c>
      <c r="AF37" s="360">
        <f t="shared" si="15"/>
        <v>0</v>
      </c>
      <c r="AG37" s="360">
        <f t="shared" si="16"/>
        <v>0.72365973219592783</v>
      </c>
      <c r="AH37" s="360">
        <f t="shared" si="17"/>
        <v>1.1510789413530829</v>
      </c>
      <c r="AI37" s="360">
        <f t="shared" si="18"/>
        <v>3.3124568230663348E-3</v>
      </c>
      <c r="AJ37" s="360">
        <f t="shared" si="19"/>
        <v>4.60992E-2</v>
      </c>
      <c r="AK37" s="360">
        <f t="shared" si="20"/>
        <v>4.943654780043704E-2</v>
      </c>
      <c r="AL37" s="360">
        <f t="shared" si="21"/>
        <v>4.60992E-2</v>
      </c>
      <c r="AM37" s="360">
        <f t="shared" si="22"/>
        <v>0.74088000000000009</v>
      </c>
      <c r="AN37" s="360">
        <f t="shared" si="23"/>
        <v>1.5736537063100405E-2</v>
      </c>
      <c r="AO37" s="360">
        <f t="shared" si="24"/>
        <v>7.3499999999999998E-4</v>
      </c>
      <c r="AP37" s="360">
        <f t="shared" si="25"/>
        <v>0.34650000000000003</v>
      </c>
      <c r="AQ37" s="360">
        <f t="shared" si="26"/>
        <v>1.3167</v>
      </c>
      <c r="AR37" s="360">
        <f t="shared" si="27"/>
        <v>1.1088</v>
      </c>
      <c r="AS37" s="360">
        <f t="shared" si="28"/>
        <v>0.34723500000000002</v>
      </c>
      <c r="AT37" s="360">
        <f t="shared" si="29"/>
        <v>2.2319570819200347</v>
      </c>
      <c r="AU37">
        <f t="shared" si="30"/>
        <v>3.6960000000000002</v>
      </c>
      <c r="AV37" s="542">
        <f t="shared" si="47"/>
        <v>0.62348629534998001</v>
      </c>
      <c r="AW37" s="551">
        <f t="shared" si="31"/>
        <v>60.632026609796398</v>
      </c>
      <c r="AX37" s="551">
        <f t="shared" si="32"/>
        <v>11.16922401641661</v>
      </c>
      <c r="AY37" s="9"/>
      <c r="AZ37" s="4">
        <f t="shared" si="48"/>
        <v>62.348629534998004</v>
      </c>
      <c r="BA37" s="360">
        <f t="shared" si="33"/>
        <v>0.3080621818092214</v>
      </c>
      <c r="BB37" s="360">
        <f t="shared" si="34"/>
        <v>1.513976279996365</v>
      </c>
      <c r="BC37" s="360">
        <f t="shared" si="35"/>
        <v>1.2126405321959279</v>
      </c>
      <c r="BD37" s="360">
        <f t="shared" si="36"/>
        <v>0.2939269478004371</v>
      </c>
      <c r="BE37" s="360">
        <f t="shared" si="37"/>
        <v>1.5736537063100405E-2</v>
      </c>
    </row>
    <row r="38" spans="1:57" x14ac:dyDescent="0.2">
      <c r="A38" s="22" t="s">
        <v>79</v>
      </c>
      <c r="B38" s="5">
        <f>RdsonTopTc*1000000</f>
        <v>4000</v>
      </c>
      <c r="C38" s="440" t="s">
        <v>81</v>
      </c>
      <c r="D38" s="21" t="s">
        <v>109</v>
      </c>
      <c r="G38">
        <v>29</v>
      </c>
      <c r="H38" s="548">
        <f t="shared" si="0"/>
        <v>21</v>
      </c>
      <c r="I38" s="4">
        <f t="shared" si="1"/>
        <v>1</v>
      </c>
      <c r="J38" s="360">
        <f t="shared" si="38"/>
        <v>1.1599999999999999</v>
      </c>
      <c r="K38" s="360">
        <f t="shared" si="2"/>
        <v>1.1599999999999999</v>
      </c>
      <c r="L38" s="4">
        <f t="shared" si="3"/>
        <v>0.20253968253968249</v>
      </c>
      <c r="M38" s="360">
        <f t="shared" si="4"/>
        <v>0.15805277533685524</v>
      </c>
      <c r="N38" s="4">
        <f t="shared" si="5"/>
        <v>1.9576452171211758</v>
      </c>
      <c r="O38" s="4">
        <f t="shared" si="39"/>
        <v>2.1388226085605879</v>
      </c>
      <c r="P38" s="4">
        <f t="shared" si="40"/>
        <v>0.18117739143941203</v>
      </c>
      <c r="Q38" s="4">
        <f t="shared" si="6"/>
        <v>0</v>
      </c>
      <c r="R38" s="4">
        <f t="shared" si="41"/>
        <v>1.2903350597201946</v>
      </c>
      <c r="S38" s="360">
        <f t="shared" si="7"/>
        <v>8.3248228317155913E-3</v>
      </c>
      <c r="T38" s="360">
        <f t="shared" si="8"/>
        <v>0.3</v>
      </c>
      <c r="U38" s="360">
        <f t="shared" si="9"/>
        <v>0.30853029963833201</v>
      </c>
      <c r="V38" s="4">
        <f t="shared" si="42"/>
        <v>0.56512349654134719</v>
      </c>
      <c r="W38" s="360">
        <f t="shared" si="10"/>
        <v>6.3872913268623612E-4</v>
      </c>
      <c r="X38" s="360">
        <f t="shared" si="43"/>
        <v>6.3872913268623612E-4</v>
      </c>
      <c r="Y38" s="4">
        <f t="shared" si="44"/>
        <v>0.47070194800079018</v>
      </c>
      <c r="Z38" s="360">
        <f t="shared" si="11"/>
        <v>2.2156032385173857E-4</v>
      </c>
      <c r="AA38" s="541">
        <f t="shared" si="45"/>
        <v>2.2156032385173857E-4</v>
      </c>
      <c r="AB38" s="360">
        <f t="shared" si="46"/>
        <v>0.51298369423213974</v>
      </c>
      <c r="AC38" s="360">
        <f t="shared" si="12"/>
        <v>1.5789136232883208E-3</v>
      </c>
      <c r="AD38" s="360">
        <f t="shared" si="13"/>
        <v>9.0632366545002702E-2</v>
      </c>
      <c r="AE38" s="360">
        <f t="shared" si="14"/>
        <v>0.63444464999999983</v>
      </c>
      <c r="AF38" s="360">
        <f t="shared" si="15"/>
        <v>0</v>
      </c>
      <c r="AG38" s="360">
        <f t="shared" si="16"/>
        <v>0.72688546804190324</v>
      </c>
      <c r="AH38" s="360">
        <f t="shared" si="17"/>
        <v>1.1839815436885257</v>
      </c>
      <c r="AI38" s="360">
        <f t="shared" si="18"/>
        <v>3.5045307394876608E-3</v>
      </c>
      <c r="AJ38" s="360">
        <f t="shared" si="19"/>
        <v>4.7745599999999992E-2</v>
      </c>
      <c r="AK38" s="360">
        <f t="shared" si="20"/>
        <v>5.1277445653937222E-2</v>
      </c>
      <c r="AL38" s="360">
        <f t="shared" si="21"/>
        <v>4.7745599999999992E-2</v>
      </c>
      <c r="AM38" s="360">
        <f t="shared" si="22"/>
        <v>0.76733999999999991</v>
      </c>
      <c r="AN38" s="360">
        <f t="shared" si="23"/>
        <v>1.6649645663431183E-2</v>
      </c>
      <c r="AO38" s="360">
        <f t="shared" si="24"/>
        <v>7.3499999999999998E-4</v>
      </c>
      <c r="AP38" s="360">
        <f t="shared" si="25"/>
        <v>0.34650000000000003</v>
      </c>
      <c r="AQ38" s="360">
        <f t="shared" si="26"/>
        <v>1.3167</v>
      </c>
      <c r="AR38" s="360">
        <f t="shared" si="27"/>
        <v>1.1088</v>
      </c>
      <c r="AS38" s="360">
        <f t="shared" si="28"/>
        <v>0.34723500000000002</v>
      </c>
      <c r="AT38" s="360">
        <f t="shared" si="29"/>
        <v>2.2665237484541421</v>
      </c>
      <c r="AU38">
        <f t="shared" si="30"/>
        <v>3.8279999999999994</v>
      </c>
      <c r="AV38" s="542">
        <f t="shared" si="47"/>
        <v>0.62810486233168927</v>
      </c>
      <c r="AW38" s="551">
        <f t="shared" si="31"/>
        <v>61.666493402095156</v>
      </c>
      <c r="AX38" s="551">
        <f t="shared" si="32"/>
        <v>11.570986534849615</v>
      </c>
      <c r="AY38" s="9"/>
      <c r="AZ38" s="4">
        <f t="shared" si="48"/>
        <v>62.81048623316893</v>
      </c>
      <c r="BA38" s="360">
        <f t="shared" si="33"/>
        <v>0.30853029963833201</v>
      </c>
      <c r="BB38" s="360">
        <f t="shared" si="34"/>
        <v>1.5455029136958403</v>
      </c>
      <c r="BC38" s="360">
        <f t="shared" si="35"/>
        <v>1.2333298680419031</v>
      </c>
      <c r="BD38" s="360">
        <f t="shared" si="36"/>
        <v>0.30449964565393722</v>
      </c>
      <c r="BE38" s="360">
        <f t="shared" si="37"/>
        <v>1.6649645663431183E-2</v>
      </c>
    </row>
    <row r="39" spans="1:57" x14ac:dyDescent="0.2">
      <c r="A39" s="23" t="s">
        <v>70</v>
      </c>
      <c r="B39" s="5">
        <f>Qg_Q1*1000000000</f>
        <v>8</v>
      </c>
      <c r="C39" s="440" t="s">
        <v>65</v>
      </c>
      <c r="D39" s="21" t="s">
        <v>99</v>
      </c>
      <c r="G39">
        <v>30</v>
      </c>
      <c r="H39" s="548">
        <f t="shared" si="0"/>
        <v>21</v>
      </c>
      <c r="I39" s="4">
        <f t="shared" si="1"/>
        <v>1</v>
      </c>
      <c r="J39" s="360">
        <f t="shared" si="38"/>
        <v>1.2</v>
      </c>
      <c r="K39" s="360">
        <f t="shared" si="2"/>
        <v>1.2</v>
      </c>
      <c r="L39" s="4">
        <f t="shared" si="3"/>
        <v>0.20952380952380947</v>
      </c>
      <c r="M39" s="360">
        <f t="shared" si="4"/>
        <v>0.15808414017650585</v>
      </c>
      <c r="N39" s="4">
        <f t="shared" si="5"/>
        <v>1.9579849933290077</v>
      </c>
      <c r="O39" s="4">
        <f t="shared" si="39"/>
        <v>2.1789924966645038</v>
      </c>
      <c r="P39" s="4">
        <f t="shared" si="40"/>
        <v>0.22100750333549612</v>
      </c>
      <c r="Q39" s="4">
        <f t="shared" si="6"/>
        <v>0</v>
      </c>
      <c r="R39" s="4">
        <f t="shared" si="41"/>
        <v>1.3264521989785885</v>
      </c>
      <c r="S39" s="360">
        <f t="shared" si="7"/>
        <v>8.7973771808756637E-3</v>
      </c>
      <c r="T39" s="360">
        <f t="shared" si="8"/>
        <v>0.3</v>
      </c>
      <c r="U39" s="360">
        <f t="shared" si="9"/>
        <v>0.30901485880226592</v>
      </c>
      <c r="V39" s="4">
        <f t="shared" si="42"/>
        <v>0.56522158148387514</v>
      </c>
      <c r="W39" s="360">
        <f t="shared" si="10"/>
        <v>6.3895087235026581E-4</v>
      </c>
      <c r="X39" s="360">
        <f t="shared" si="43"/>
        <v>6.3895087235026581E-4</v>
      </c>
      <c r="Y39" s="4">
        <f t="shared" si="44"/>
        <v>0.48391613198065303</v>
      </c>
      <c r="Z39" s="360">
        <f t="shared" si="11"/>
        <v>2.3417482279111681E-4</v>
      </c>
      <c r="AA39" s="541">
        <f t="shared" si="45"/>
        <v>2.3417482279111681E-4</v>
      </c>
      <c r="AB39" s="360">
        <f t="shared" si="46"/>
        <v>0.52739469232201086</v>
      </c>
      <c r="AC39" s="360">
        <f t="shared" si="12"/>
        <v>1.6688709689365712E-3</v>
      </c>
      <c r="AD39" s="360">
        <f t="shared" si="13"/>
        <v>9.3757620563795899E-2</v>
      </c>
      <c r="AE39" s="360">
        <f t="shared" si="14"/>
        <v>0.63444464999999983</v>
      </c>
      <c r="AF39" s="360">
        <f t="shared" si="15"/>
        <v>0</v>
      </c>
      <c r="AG39" s="360">
        <f t="shared" si="16"/>
        <v>0.73011483502316432</v>
      </c>
      <c r="AH39" s="360">
        <f t="shared" si="17"/>
        <v>1.2170991227856933</v>
      </c>
      <c r="AI39" s="360">
        <f t="shared" si="18"/>
        <v>3.7033256867142605E-3</v>
      </c>
      <c r="AJ39" s="360">
        <f t="shared" si="19"/>
        <v>4.9391999999999991E-2</v>
      </c>
      <c r="AK39" s="360">
        <f t="shared" si="20"/>
        <v>5.3125230171199106E-2</v>
      </c>
      <c r="AL39" s="360">
        <f t="shared" si="21"/>
        <v>4.9391999999999991E-2</v>
      </c>
      <c r="AM39" s="360">
        <f t="shared" si="22"/>
        <v>0.79380000000000006</v>
      </c>
      <c r="AN39" s="360">
        <f t="shared" si="23"/>
        <v>1.7594754361751327E-2</v>
      </c>
      <c r="AO39" s="360">
        <f t="shared" si="24"/>
        <v>7.3499999999999998E-4</v>
      </c>
      <c r="AP39" s="360">
        <f t="shared" si="25"/>
        <v>0.34650000000000003</v>
      </c>
      <c r="AQ39" s="360">
        <f t="shared" si="26"/>
        <v>1.3167</v>
      </c>
      <c r="AR39" s="360">
        <f t="shared" si="27"/>
        <v>1.1088</v>
      </c>
      <c r="AS39" s="360">
        <f t="shared" si="28"/>
        <v>0.34723500000000002</v>
      </c>
      <c r="AT39" s="360">
        <f t="shared" si="29"/>
        <v>2.3011498040535221</v>
      </c>
      <c r="AU39">
        <f t="shared" si="30"/>
        <v>3.9599999999999995</v>
      </c>
      <c r="AV39" s="542">
        <f t="shared" si="47"/>
        <v>0.63247169033334127</v>
      </c>
      <c r="AW39" s="551">
        <f t="shared" si="31"/>
        <v>62.701141751158218</v>
      </c>
      <c r="AX39" s="551">
        <f t="shared" si="32"/>
        <v>11.973010746505565</v>
      </c>
      <c r="AY39" s="9"/>
      <c r="AZ39" s="4">
        <f t="shared" si="48"/>
        <v>63.247169033334124</v>
      </c>
      <c r="BA39" s="360">
        <f t="shared" si="33"/>
        <v>0.30901485880226592</v>
      </c>
      <c r="BB39" s="360">
        <f t="shared" si="34"/>
        <v>1.5770400651943635</v>
      </c>
      <c r="BC39" s="360">
        <f t="shared" si="35"/>
        <v>1.2540228350231644</v>
      </c>
      <c r="BD39" s="360">
        <f t="shared" si="36"/>
        <v>0.3150792301711991</v>
      </c>
      <c r="BE39" s="360">
        <f t="shared" si="37"/>
        <v>1.7594754361751327E-2</v>
      </c>
    </row>
    <row r="40" spans="1:57" x14ac:dyDescent="0.2">
      <c r="A40" s="23" t="s">
        <v>120</v>
      </c>
      <c r="B40" s="5">
        <f>Qgd_Q1*1000000000</f>
        <v>1.4</v>
      </c>
      <c r="C40" s="440" t="s">
        <v>65</v>
      </c>
      <c r="D40" s="21" t="s">
        <v>121</v>
      </c>
      <c r="G40">
        <v>31</v>
      </c>
      <c r="H40" s="548">
        <f t="shared" si="0"/>
        <v>21</v>
      </c>
      <c r="I40" s="4">
        <f t="shared" si="1"/>
        <v>1</v>
      </c>
      <c r="J40" s="360">
        <f t="shared" si="38"/>
        <v>1.24</v>
      </c>
      <c r="K40" s="360">
        <f t="shared" si="2"/>
        <v>1.24</v>
      </c>
      <c r="L40" s="4">
        <f t="shared" si="3"/>
        <v>0.21650793650793645</v>
      </c>
      <c r="M40" s="360">
        <f t="shared" si="4"/>
        <v>0.15811550423980128</v>
      </c>
      <c r="N40" s="4">
        <f t="shared" si="5"/>
        <v>1.9583247405928932</v>
      </c>
      <c r="O40" s="4">
        <f t="shared" si="39"/>
        <v>2.2191623702964467</v>
      </c>
      <c r="P40" s="4">
        <f t="shared" si="40"/>
        <v>0.2608376297035534</v>
      </c>
      <c r="Q40" s="4">
        <f t="shared" si="6"/>
        <v>0</v>
      </c>
      <c r="R40" s="4">
        <f t="shared" si="41"/>
        <v>1.3627862326137283</v>
      </c>
      <c r="S40" s="360">
        <f t="shared" si="7"/>
        <v>9.2859315790075943E-3</v>
      </c>
      <c r="T40" s="360">
        <f t="shared" si="8"/>
        <v>0.3</v>
      </c>
      <c r="U40" s="360">
        <f t="shared" si="9"/>
        <v>0.30951586302914408</v>
      </c>
      <c r="V40" s="4">
        <f t="shared" si="42"/>
        <v>0.56531965807100548</v>
      </c>
      <c r="W40" s="360">
        <f t="shared" si="10"/>
        <v>6.3917263160303704E-4</v>
      </c>
      <c r="X40" s="360">
        <f t="shared" si="43"/>
        <v>6.3917263160303704E-4</v>
      </c>
      <c r="Y40" s="4">
        <f t="shared" si="44"/>
        <v>0.49721156538341715</v>
      </c>
      <c r="Z40" s="360">
        <f t="shared" si="11"/>
        <v>2.4721934075102811E-4</v>
      </c>
      <c r="AA40" s="541">
        <f t="shared" si="45"/>
        <v>2.4721934075102811E-4</v>
      </c>
      <c r="AB40" s="360">
        <f t="shared" si="46"/>
        <v>0.54189477833820843</v>
      </c>
      <c r="AC40" s="360">
        <f t="shared" si="12"/>
        <v>1.7618997047412963E-3</v>
      </c>
      <c r="AD40" s="360">
        <f t="shared" si="13"/>
        <v>9.6882874582589096E-2</v>
      </c>
      <c r="AE40" s="360">
        <f t="shared" si="14"/>
        <v>0.63444464999999983</v>
      </c>
      <c r="AF40" s="360">
        <f t="shared" si="15"/>
        <v>0</v>
      </c>
      <c r="AG40" s="360">
        <f t="shared" si="16"/>
        <v>0.733347841356362</v>
      </c>
      <c r="AH40" s="360">
        <f t="shared" si="17"/>
        <v>1.2504144772879522</v>
      </c>
      <c r="AI40" s="360">
        <f t="shared" si="18"/>
        <v>3.9088409125282572E-3</v>
      </c>
      <c r="AJ40" s="360">
        <f t="shared" si="19"/>
        <v>5.1038399999999991E-2</v>
      </c>
      <c r="AK40" s="360">
        <f t="shared" si="20"/>
        <v>5.4979906884356528E-2</v>
      </c>
      <c r="AL40" s="360">
        <f t="shared" si="21"/>
        <v>5.1038399999999991E-2</v>
      </c>
      <c r="AM40" s="360">
        <f t="shared" si="22"/>
        <v>0.82025999999999999</v>
      </c>
      <c r="AN40" s="360">
        <f t="shared" si="23"/>
        <v>1.8571863158015189E-2</v>
      </c>
      <c r="AO40" s="360">
        <f t="shared" si="24"/>
        <v>7.3499999999999998E-4</v>
      </c>
      <c r="AP40" s="360">
        <f t="shared" si="25"/>
        <v>0.34650000000000003</v>
      </c>
      <c r="AQ40" s="360">
        <f t="shared" si="26"/>
        <v>1.3167</v>
      </c>
      <c r="AR40" s="360">
        <f t="shared" si="27"/>
        <v>1.1088</v>
      </c>
      <c r="AS40" s="360">
        <f t="shared" si="28"/>
        <v>0.34723500000000002</v>
      </c>
      <c r="AT40" s="360">
        <f t="shared" si="29"/>
        <v>2.335835266400232</v>
      </c>
      <c r="AU40">
        <f t="shared" si="30"/>
        <v>4.0919999999999996</v>
      </c>
      <c r="AV40" s="542">
        <f t="shared" si="47"/>
        <v>0.63660623373312342</v>
      </c>
      <c r="AW40" s="551">
        <f t="shared" si="31"/>
        <v>63.735972067818103</v>
      </c>
      <c r="AX40" s="551">
        <f t="shared" si="32"/>
        <v>12.37529686160555</v>
      </c>
      <c r="AY40" s="9"/>
      <c r="AZ40" s="4">
        <f t="shared" si="48"/>
        <v>63.66062337331234</v>
      </c>
      <c r="BA40" s="360">
        <f t="shared" si="33"/>
        <v>0.30951586302914408</v>
      </c>
      <c r="BB40" s="360">
        <f t="shared" si="34"/>
        <v>1.6085877482407185</v>
      </c>
      <c r="BC40" s="360">
        <f t="shared" si="35"/>
        <v>1.2747194413563621</v>
      </c>
      <c r="BD40" s="360">
        <f t="shared" si="36"/>
        <v>0.32566570688435659</v>
      </c>
      <c r="BE40" s="360">
        <f t="shared" si="37"/>
        <v>1.8571863158015189E-2</v>
      </c>
    </row>
    <row r="41" spans="1:57" x14ac:dyDescent="0.2">
      <c r="A41" s="23" t="s">
        <v>124</v>
      </c>
      <c r="B41" s="5">
        <f>Qgs_Q1*1000000000</f>
        <v>3.8000000000000003</v>
      </c>
      <c r="C41" s="440" t="s">
        <v>65</v>
      </c>
      <c r="D41" s="21"/>
      <c r="G41">
        <v>32</v>
      </c>
      <c r="H41" s="548">
        <f t="shared" ref="H41:H72" si="49">Vin</f>
        <v>21</v>
      </c>
      <c r="I41" s="4">
        <f t="shared" ref="I41:I72" si="50">MODE</f>
        <v>1</v>
      </c>
      <c r="J41" s="360">
        <f t="shared" si="38"/>
        <v>1.28</v>
      </c>
      <c r="K41" s="360">
        <f t="shared" ref="K41:K72" si="51">Iout*G41/100/Number_of_Phases</f>
        <v>1.28</v>
      </c>
      <c r="L41" s="4">
        <f t="shared" ref="L41:L72" si="52">Vout*K41/(Vin*Efficiency)</f>
        <v>0.22349206349206346</v>
      </c>
      <c r="M41" s="360">
        <f t="shared" ref="M41:M72" si="53">(Vout+(Rdson2+Rs+Rdcr)*K41)/(Vin+(Rs+Rdson2-Rdson1)*K41)</f>
        <v>0.15814686752677035</v>
      </c>
      <c r="N41" s="4">
        <f t="shared" ref="N41:N72" si="54">(Vin-(Rdson1+Rdcr)*K41-Vout)*M41/(Fsw*Lf)</f>
        <v>1.9586644589139062</v>
      </c>
      <c r="O41" s="4">
        <f t="shared" si="39"/>
        <v>2.2593322294569531</v>
      </c>
      <c r="P41" s="4">
        <f t="shared" si="40"/>
        <v>0.30066777054304694</v>
      </c>
      <c r="Q41" s="4">
        <f t="shared" ref="Q41:Q72" si="55">IF(MIN(Vin, -P41/(Coss_Q1+Coss_Q2)*0.00000002)&lt;0, 0, MIN(Vin, -P41/(Coss_Q1+Coss_Q2)*0.00000002))</f>
        <v>0</v>
      </c>
      <c r="R41" s="4">
        <f t="shared" si="41"/>
        <v>1.3993202654209325</v>
      </c>
      <c r="S41" s="360">
        <f t="shared" ref="S41:S72" si="56">R41^2*Rdcr</f>
        <v>9.7904860260885438E-3</v>
      </c>
      <c r="T41" s="360">
        <f t="shared" ref="T41:T72" si="57">Core_Loss_Ch1</f>
        <v>0.3</v>
      </c>
      <c r="U41" s="360">
        <f t="shared" ref="U41:U72" si="58">(T41+S41*(1+Ltc*(Ta-25)))/(1-S41*Ltc*ThetaCa)</f>
        <v>0.31003331617405849</v>
      </c>
      <c r="V41" s="4">
        <f t="shared" si="42"/>
        <v>0.56541772630304821</v>
      </c>
      <c r="W41" s="360">
        <f t="shared" si="10"/>
        <v>6.3939441043541748E-4</v>
      </c>
      <c r="X41" s="360">
        <f t="shared" si="43"/>
        <v>6.3939441043541748E-4</v>
      </c>
      <c r="Y41" s="4">
        <f t="shared" si="44"/>
        <v>0.51058210200548904</v>
      </c>
      <c r="Z41" s="360">
        <f t="shared" si="11"/>
        <v>2.606940828883436E-4</v>
      </c>
      <c r="AA41" s="541">
        <f t="shared" si="45"/>
        <v>2.606940828883436E-4</v>
      </c>
      <c r="AB41" s="360">
        <f t="shared" si="46"/>
        <v>0.55647725858125074</v>
      </c>
      <c r="AC41" s="360">
        <f t="shared" ref="AC41:AC72" si="59">Rdson1*AB41^2</f>
        <v>1.8580016359086252E-3</v>
      </c>
      <c r="AD41" s="360">
        <f t="shared" ref="AD41:AD72" si="60">(Vin*K41/2)*Fsw*(Tr_buck+Tf_buck)</f>
        <v>0.10000812860138229</v>
      </c>
      <c r="AE41" s="360">
        <f t="shared" ref="AE41:AE72" si="61">(0.5*Coss_Q1*(Vin-Q41)^2-0.5*Coss_Q2*(Vin-Q41)^2+(Qoss_Q2*(Vin-Q41)/Vin)*Vin)*Fsw</f>
        <v>0.63444464999999983</v>
      </c>
      <c r="AF41" s="360">
        <f t="shared" ref="AF41:AF72" si="62">IF(K41&gt;N41/2,0,ABS(K41-N41/2)*Vsd_Q1*Deadtime*Fsw)</f>
        <v>0</v>
      </c>
      <c r="AG41" s="360">
        <f t="shared" ref="AG41:AG72" si="63">(AF41+AE41+AD41+AC41*(1+RdsonTopTc*Ta-RdsonTopTc*25))/(1-AC41*RdsonTopTc*ThetaJA_Q1)</f>
        <v>0.73658449527673264</v>
      </c>
      <c r="AH41" s="360">
        <f t="shared" ref="AH41:AH72" si="64">SQRT((1-M41))*SQRT(K41^2+(N41^2)/12)</f>
        <v>1.2839120943038136</v>
      </c>
      <c r="AI41" s="360">
        <f t="shared" ref="AI41:AI72" si="65">Rdson2*AH41^2</f>
        <v>4.121075664749012E-3</v>
      </c>
      <c r="AJ41" s="360">
        <f t="shared" ref="AJ41:AJ72" si="66">IF(K41&lt;N41/2,Deadtime*Fsw*IF(VfdSky_Q2&gt;0,0,Vsd_Q2)*(K41+N41/2),2*Deadtime*Fsw*IF(VfdSky_Q2&gt;0,0,Vsd_Q2)*K41)</f>
        <v>5.2684799999999997E-2</v>
      </c>
      <c r="AK41" s="360">
        <f t="shared" ref="AK41:AK72" si="67">(AJ41+AI41*(1+RdsonBotTc*Ta-RdsonBotTc*25))/(1-AI41*RdsonBotTc*ThetaJA_Q2)</f>
        <v>5.6841481367682134E-2</v>
      </c>
      <c r="AL41" s="360">
        <f t="shared" ref="AL41:AL72" si="68">2*Deadtime*Fsw*IF(VfdSky_Q2&gt;0,VfdSky_Q2,Vsd_Q2)*K41</f>
        <v>5.2684799999999997E-2</v>
      </c>
      <c r="AM41" s="360">
        <f t="shared" ref="AM41:AM72" si="69">IF(QrrSky_Q2&gt;0,QrrSky_Q2,Qrr_Q2*K41/(Iout/Number_of_Phases))*Fsw*Vin</f>
        <v>0.84672000000000003</v>
      </c>
      <c r="AN41" s="360">
        <f t="shared" ref="AN41:AN72" si="70">CHOOSE(SENSING_TYPE, Rs*R41^2, 0)</f>
        <v>1.9580972052177088E-2</v>
      </c>
      <c r="AO41" s="360">
        <f t="shared" ref="AO41:AO72" si="71">Iq*Vin</f>
        <v>7.3499999999999998E-4</v>
      </c>
      <c r="AP41" s="360">
        <f t="shared" ref="AP41:AP72" si="72">IF(Ext_VCC=1,  (Qg_Q1+Qg_Q2)*Fsw*VCC, (Qg_Q1+Qg_Q2)*Fsw*Vin)</f>
        <v>0.34650000000000003</v>
      </c>
      <c r="AQ41" s="360">
        <f t="shared" si="26"/>
        <v>1.3167</v>
      </c>
      <c r="AR41" s="360">
        <f t="shared" ref="AR41:AR72" si="73">(Qg_Q1+Qg_Q2)*Fsw*(Vin-VCC)</f>
        <v>1.1088</v>
      </c>
      <c r="AS41" s="360">
        <f t="shared" ref="AS41:AS74" si="74">SUM(AO41:AP41)</f>
        <v>0.34723500000000002</v>
      </c>
      <c r="AT41" s="360">
        <f t="shared" ref="AT41:AT72" si="75" xml:space="preserve"> SUM(U41,X41,AA41,AG41,AK41,AL41,AM41,AS41,AN41)</f>
        <v>2.3705801533639739</v>
      </c>
      <c r="AU41">
        <f t="shared" ref="AU41:AU72" si="76">Vout*K41</f>
        <v>4.2240000000000002</v>
      </c>
      <c r="AV41" s="542">
        <f t="shared" si="47"/>
        <v>0.64052599282537903</v>
      </c>
      <c r="AW41" s="551">
        <f t="shared" ref="AW41:AW72" si="77">ThetaJA_Q1*BC41</f>
        <v>64.770984763836637</v>
      </c>
      <c r="AX41" s="551">
        <f t="shared" ref="AX41:AX72" si="78">ThetaJA_Q2*BD41</f>
        <v>12.777845091971923</v>
      </c>
      <c r="AY41" s="9"/>
      <c r="AZ41" s="4">
        <f t="shared" si="48"/>
        <v>64.052599282537898</v>
      </c>
      <c r="BA41" s="360">
        <f t="shared" ref="BA41:BA72" si="79">U41</f>
        <v>0.31003331617405849</v>
      </c>
      <c r="BB41" s="360">
        <f t="shared" ref="BB41:BB73" si="80">AG41+AK41+AM41</f>
        <v>1.6401459766444146</v>
      </c>
      <c r="BC41" s="360">
        <f t="shared" ref="BC41:BC73" si="81">AG41+AM41*0.66</f>
        <v>1.2954196952767327</v>
      </c>
      <c r="BD41" s="360">
        <f t="shared" ref="BD41:BD73" si="82">AK41+AM41*0.33</f>
        <v>0.33625908136768218</v>
      </c>
      <c r="BE41" s="360">
        <f t="shared" ref="BE41:BE73" si="83">AN41</f>
        <v>1.9580972052177088E-2</v>
      </c>
    </row>
    <row r="42" spans="1:57" x14ac:dyDescent="0.2">
      <c r="A42" s="23" t="s">
        <v>90</v>
      </c>
      <c r="B42" s="5">
        <f>Rgate1</f>
        <v>0.5</v>
      </c>
      <c r="C42" s="444" t="s">
        <v>116</v>
      </c>
      <c r="D42" s="21" t="s">
        <v>100</v>
      </c>
      <c r="G42">
        <v>33</v>
      </c>
      <c r="H42" s="548">
        <f t="shared" si="49"/>
        <v>21</v>
      </c>
      <c r="I42" s="4">
        <f t="shared" si="50"/>
        <v>1</v>
      </c>
      <c r="J42" s="360">
        <f t="shared" ref="J42:J73" si="84">Iout*G42/100</f>
        <v>1.32</v>
      </c>
      <c r="K42" s="360">
        <f t="shared" si="51"/>
        <v>1.32</v>
      </c>
      <c r="L42" s="4">
        <f t="shared" si="52"/>
        <v>0.23047619047619045</v>
      </c>
      <c r="M42" s="360">
        <f t="shared" si="53"/>
        <v>0.15817823003744183</v>
      </c>
      <c r="N42" s="4">
        <f t="shared" si="54"/>
        <v>1.9590041482931204</v>
      </c>
      <c r="O42" s="4">
        <f t="shared" si="39"/>
        <v>2.2995020741465604</v>
      </c>
      <c r="P42" s="4">
        <f t="shared" si="40"/>
        <v>0.34049792585343985</v>
      </c>
      <c r="Q42" s="4">
        <f t="shared" si="55"/>
        <v>0</v>
      </c>
      <c r="R42" s="4">
        <f t="shared" si="41"/>
        <v>1.4360390330416293</v>
      </c>
      <c r="S42" s="360">
        <f t="shared" si="56"/>
        <v>1.031104052209569E-2</v>
      </c>
      <c r="T42" s="360">
        <f t="shared" si="57"/>
        <v>0.3</v>
      </c>
      <c r="U42" s="360">
        <f t="shared" si="58"/>
        <v>0.31056722221914657</v>
      </c>
      <c r="V42" s="4">
        <f t="shared" si="42"/>
        <v>0.5655157861803134</v>
      </c>
      <c r="W42" s="360">
        <f t="shared" si="10"/>
        <v>6.3961620883827585E-4</v>
      </c>
      <c r="X42" s="360">
        <f t="shared" si="43"/>
        <v>6.3961620883827585E-4</v>
      </c>
      <c r="Y42" s="4">
        <f t="shared" si="44"/>
        <v>0.52402218875924933</v>
      </c>
      <c r="Z42" s="360">
        <f t="shared" si="11"/>
        <v>2.7459925431203437E-4</v>
      </c>
      <c r="AA42" s="541">
        <f t="shared" si="45"/>
        <v>2.7459925431203437E-4</v>
      </c>
      <c r="AB42" s="360">
        <f t="shared" si="46"/>
        <v>0.57113608529481585</v>
      </c>
      <c r="AC42" s="360">
        <f t="shared" si="59"/>
        <v>1.957178567555323E-3</v>
      </c>
      <c r="AD42" s="360">
        <f t="shared" si="60"/>
        <v>0.1031333826201755</v>
      </c>
      <c r="AE42" s="360">
        <f t="shared" si="61"/>
        <v>0.63444464999999983</v>
      </c>
      <c r="AF42" s="360">
        <f t="shared" si="62"/>
        <v>0</v>
      </c>
      <c r="AG42" s="360">
        <f t="shared" si="63"/>
        <v>0.73982480503816384</v>
      </c>
      <c r="AH42" s="360">
        <f t="shared" si="64"/>
        <v>1.3175779584120442</v>
      </c>
      <c r="AI42" s="360">
        <f t="shared" si="65"/>
        <v>4.3400291912331261E-3</v>
      </c>
      <c r="AJ42" s="360">
        <f t="shared" si="66"/>
        <v>5.4331199999999996E-2</v>
      </c>
      <c r="AK42" s="360">
        <f t="shared" si="67"/>
        <v>5.8709959237643064E-2</v>
      </c>
      <c r="AL42" s="360">
        <f t="shared" si="68"/>
        <v>5.4331199999999996E-2</v>
      </c>
      <c r="AM42" s="360">
        <f t="shared" si="69"/>
        <v>0.87317999999999996</v>
      </c>
      <c r="AN42" s="360">
        <f t="shared" si="70"/>
        <v>2.062208104419138E-2</v>
      </c>
      <c r="AO42" s="360">
        <f t="shared" si="71"/>
        <v>7.3499999999999998E-4</v>
      </c>
      <c r="AP42" s="360">
        <f t="shared" si="72"/>
        <v>0.34650000000000003</v>
      </c>
      <c r="AQ42" s="360">
        <f t="shared" si="26"/>
        <v>1.3167</v>
      </c>
      <c r="AR42" s="360">
        <f t="shared" si="73"/>
        <v>1.1088</v>
      </c>
      <c r="AS42" s="360">
        <f t="shared" si="74"/>
        <v>0.34723500000000002</v>
      </c>
      <c r="AT42" s="360">
        <f t="shared" si="75"/>
        <v>2.4053844830022948</v>
      </c>
      <c r="AU42">
        <f t="shared" si="76"/>
        <v>4.3559999999999999</v>
      </c>
      <c r="AV42" s="542">
        <f t="shared" si="47"/>
        <v>0.64424675315399038</v>
      </c>
      <c r="AW42" s="551">
        <f t="shared" si="77"/>
        <v>65.806180251908188</v>
      </c>
      <c r="AX42" s="551">
        <f t="shared" si="78"/>
        <v>13.180655651030436</v>
      </c>
      <c r="AY42" s="9"/>
      <c r="AZ42" s="4">
        <f t="shared" si="48"/>
        <v>64.424675315399043</v>
      </c>
      <c r="BA42" s="360">
        <f t="shared" si="79"/>
        <v>0.31056722221914657</v>
      </c>
      <c r="BB42" s="360">
        <f t="shared" si="80"/>
        <v>1.6717147642758068</v>
      </c>
      <c r="BC42" s="360">
        <f t="shared" si="81"/>
        <v>1.3161236050381637</v>
      </c>
      <c r="BD42" s="360">
        <f t="shared" si="82"/>
        <v>0.34685935923764305</v>
      </c>
      <c r="BE42" s="360">
        <f t="shared" si="83"/>
        <v>2.062208104419138E-2</v>
      </c>
    </row>
    <row r="43" spans="1:57" x14ac:dyDescent="0.2">
      <c r="A43" s="23" t="s">
        <v>69</v>
      </c>
      <c r="B43" s="5">
        <f>Gfs_Q1</f>
        <v>64</v>
      </c>
      <c r="C43" s="440" t="s">
        <v>66</v>
      </c>
      <c r="D43" s="21" t="s">
        <v>101</v>
      </c>
      <c r="G43">
        <v>34</v>
      </c>
      <c r="H43" s="548">
        <f t="shared" si="49"/>
        <v>21</v>
      </c>
      <c r="I43" s="4">
        <f t="shared" si="50"/>
        <v>1</v>
      </c>
      <c r="J43" s="360">
        <f t="shared" si="84"/>
        <v>1.36</v>
      </c>
      <c r="K43" s="360">
        <f t="shared" si="51"/>
        <v>1.36</v>
      </c>
      <c r="L43" s="4">
        <f t="shared" si="52"/>
        <v>0.23746031746031745</v>
      </c>
      <c r="M43" s="360">
        <f t="shared" si="53"/>
        <v>0.15820959177184463</v>
      </c>
      <c r="N43" s="4">
        <f t="shared" si="54"/>
        <v>1.9593438087316126</v>
      </c>
      <c r="O43" s="4">
        <f t="shared" si="39"/>
        <v>2.3396719043658063</v>
      </c>
      <c r="P43" s="4">
        <f t="shared" si="40"/>
        <v>0.38032809563419379</v>
      </c>
      <c r="Q43" s="4">
        <f t="shared" si="55"/>
        <v>0</v>
      </c>
      <c r="R43" s="4">
        <f t="shared" si="41"/>
        <v>1.4729287197285692</v>
      </c>
      <c r="S43" s="360">
        <f t="shared" si="56"/>
        <v>1.0847595067006211E-2</v>
      </c>
      <c r="T43" s="360">
        <f t="shared" si="57"/>
        <v>0.3</v>
      </c>
      <c r="U43" s="360">
        <f t="shared" si="58"/>
        <v>0.31111758527366812</v>
      </c>
      <c r="V43" s="4">
        <f t="shared" si="42"/>
        <v>0.56561383770311158</v>
      </c>
      <c r="W43" s="360">
        <f t="shared" si="10"/>
        <v>6.3983802680248373E-4</v>
      </c>
      <c r="X43" s="360">
        <f t="shared" si="43"/>
        <v>6.3983802680248373E-4</v>
      </c>
      <c r="Y43" s="4">
        <f t="shared" si="44"/>
        <v>0.53752679940927384</v>
      </c>
      <c r="Z43" s="360">
        <f t="shared" si="11"/>
        <v>2.8893506008317773E-4</v>
      </c>
      <c r="AA43" s="541">
        <f t="shared" si="45"/>
        <v>2.8893506008317773E-4</v>
      </c>
      <c r="AB43" s="360">
        <f t="shared" si="46"/>
        <v>0.58586578450312798</v>
      </c>
      <c r="AC43" s="360">
        <f t="shared" si="59"/>
        <v>2.0594323047087937E-3</v>
      </c>
      <c r="AD43" s="360">
        <f t="shared" si="60"/>
        <v>0.1062586366389687</v>
      </c>
      <c r="AE43" s="360">
        <f t="shared" si="61"/>
        <v>0.63444464999999983</v>
      </c>
      <c r="AF43" s="360">
        <f t="shared" si="62"/>
        <v>0</v>
      </c>
      <c r="AG43" s="360">
        <f t="shared" si="63"/>
        <v>0.74306877891326029</v>
      </c>
      <c r="AH43" s="360">
        <f t="shared" si="64"/>
        <v>1.3513993843234413</v>
      </c>
      <c r="AI43" s="360">
        <f t="shared" si="65"/>
        <v>4.5657007398744402E-3</v>
      </c>
      <c r="AJ43" s="360">
        <f t="shared" si="66"/>
        <v>5.5977599999999995E-2</v>
      </c>
      <c r="AK43" s="360">
        <f t="shared" si="67"/>
        <v>6.058534615295736E-2</v>
      </c>
      <c r="AL43" s="360">
        <f t="shared" si="68"/>
        <v>5.5977599999999995E-2</v>
      </c>
      <c r="AM43" s="360">
        <f t="shared" si="69"/>
        <v>0.89964000000000011</v>
      </c>
      <c r="AN43" s="360">
        <f t="shared" si="70"/>
        <v>2.1695190134012422E-2</v>
      </c>
      <c r="AO43" s="360">
        <f t="shared" si="71"/>
        <v>7.3499999999999998E-4</v>
      </c>
      <c r="AP43" s="360">
        <f t="shared" si="72"/>
        <v>0.34650000000000003</v>
      </c>
      <c r="AQ43" s="360">
        <f t="shared" si="26"/>
        <v>1.3167</v>
      </c>
      <c r="AR43" s="360">
        <f t="shared" si="73"/>
        <v>1.1088</v>
      </c>
      <c r="AS43" s="360">
        <f t="shared" si="74"/>
        <v>0.34723500000000002</v>
      </c>
      <c r="AT43" s="360">
        <f t="shared" si="75"/>
        <v>2.4402482735607838</v>
      </c>
      <c r="AU43">
        <f t="shared" si="76"/>
        <v>4.4880000000000004</v>
      </c>
      <c r="AV43" s="542">
        <f t="shared" si="47"/>
        <v>0.64778279051096788</v>
      </c>
      <c r="AW43" s="551">
        <f t="shared" si="77"/>
        <v>66.84155894566301</v>
      </c>
      <c r="AX43" s="551">
        <f t="shared" si="78"/>
        <v>13.583728753812382</v>
      </c>
      <c r="AY43" s="9"/>
      <c r="AZ43" s="4">
        <f t="shared" si="48"/>
        <v>64.778279051096789</v>
      </c>
      <c r="BA43" s="360">
        <f t="shared" si="79"/>
        <v>0.31111758527366812</v>
      </c>
      <c r="BB43" s="360">
        <f t="shared" si="80"/>
        <v>1.7032941250662179</v>
      </c>
      <c r="BC43" s="360">
        <f t="shared" si="81"/>
        <v>1.3368311789132603</v>
      </c>
      <c r="BD43" s="360">
        <f t="shared" si="82"/>
        <v>0.35746654615295742</v>
      </c>
      <c r="BE43" s="360">
        <f t="shared" si="83"/>
        <v>2.1695190134012422E-2</v>
      </c>
    </row>
    <row r="44" spans="1:57" x14ac:dyDescent="0.2">
      <c r="A44" s="23" t="s">
        <v>92</v>
      </c>
      <c r="B44" s="5">
        <f>Vth_Q1</f>
        <v>2.9</v>
      </c>
      <c r="C44" s="440" t="s">
        <v>0</v>
      </c>
      <c r="D44" s="21" t="s">
        <v>102</v>
      </c>
      <c r="G44">
        <v>35</v>
      </c>
      <c r="H44" s="548">
        <f t="shared" si="49"/>
        <v>21</v>
      </c>
      <c r="I44" s="4">
        <f t="shared" si="50"/>
        <v>1</v>
      </c>
      <c r="J44" s="360">
        <f t="shared" si="84"/>
        <v>1.4</v>
      </c>
      <c r="K44" s="360">
        <f t="shared" si="51"/>
        <v>1.4</v>
      </c>
      <c r="L44" s="4">
        <f t="shared" si="52"/>
        <v>0.24444444444444438</v>
      </c>
      <c r="M44" s="360">
        <f t="shared" si="53"/>
        <v>0.15824095273000746</v>
      </c>
      <c r="N44" s="4">
        <f t="shared" si="54"/>
        <v>1.959683440230455</v>
      </c>
      <c r="O44" s="4">
        <f t="shared" si="39"/>
        <v>2.3798417201152273</v>
      </c>
      <c r="P44" s="4">
        <f t="shared" si="40"/>
        <v>0.42015827988477239</v>
      </c>
      <c r="Q44" s="4">
        <f t="shared" si="55"/>
        <v>0</v>
      </c>
      <c r="R44" s="4">
        <f t="shared" si="41"/>
        <v>1.5099767985500492</v>
      </c>
      <c r="S44" s="360">
        <f t="shared" si="56"/>
        <v>1.1400149660797278E-2</v>
      </c>
      <c r="T44" s="360">
        <f t="shared" si="57"/>
        <v>0.3</v>
      </c>
      <c r="U44" s="360">
        <f t="shared" si="58"/>
        <v>0.31168440957408383</v>
      </c>
      <c r="V44" s="4">
        <f t="shared" si="42"/>
        <v>0.56571188087175261</v>
      </c>
      <c r="W44" s="360">
        <f t="shared" si="10"/>
        <v>6.4005986431891202E-4</v>
      </c>
      <c r="X44" s="360">
        <f t="shared" si="43"/>
        <v>6.4005986431891202E-4</v>
      </c>
      <c r="Y44" s="4">
        <f t="shared" si="44"/>
        <v>0.55109137646579143</v>
      </c>
      <c r="Z44" s="360">
        <f t="shared" si="11"/>
        <v>3.0370170521496067E-4</v>
      </c>
      <c r="AA44" s="541">
        <f t="shared" si="45"/>
        <v>3.0370170521496067E-4</v>
      </c>
      <c r="AB44" s="360">
        <f t="shared" si="46"/>
        <v>0.6006613927312513</v>
      </c>
      <c r="AC44" s="360">
        <f t="shared" si="59"/>
        <v>2.164764652307079E-3</v>
      </c>
      <c r="AD44" s="360">
        <f t="shared" si="60"/>
        <v>0.10938389065776188</v>
      </c>
      <c r="AE44" s="360">
        <f t="shared" si="61"/>
        <v>0.63444464999999983</v>
      </c>
      <c r="AF44" s="360">
        <f t="shared" si="62"/>
        <v>0</v>
      </c>
      <c r="AG44" s="360">
        <f t="shared" si="63"/>
        <v>0.7463164251934078</v>
      </c>
      <c r="AH44" s="360">
        <f t="shared" si="64"/>
        <v>1.3853648701485139</v>
      </c>
      <c r="AI44" s="360">
        <f t="shared" si="65"/>
        <v>4.7980895586040226E-3</v>
      </c>
      <c r="AJ44" s="360">
        <f t="shared" si="66"/>
        <v>5.7623999999999988E-2</v>
      </c>
      <c r="AK44" s="360">
        <f t="shared" si="67"/>
        <v>6.246764781465098E-2</v>
      </c>
      <c r="AL44" s="360">
        <f t="shared" si="68"/>
        <v>5.7623999999999988E-2</v>
      </c>
      <c r="AM44" s="360">
        <f t="shared" si="69"/>
        <v>0.92609999999999981</v>
      </c>
      <c r="AN44" s="360">
        <f t="shared" si="70"/>
        <v>2.2800299321594556E-2</v>
      </c>
      <c r="AO44" s="360">
        <f t="shared" si="71"/>
        <v>7.3499999999999998E-4</v>
      </c>
      <c r="AP44" s="360">
        <f t="shared" si="72"/>
        <v>0.34650000000000003</v>
      </c>
      <c r="AQ44" s="360">
        <f t="shared" si="26"/>
        <v>1.3167</v>
      </c>
      <c r="AR44" s="360">
        <f t="shared" si="73"/>
        <v>1.1088</v>
      </c>
      <c r="AS44" s="360">
        <f t="shared" si="74"/>
        <v>0.34723500000000002</v>
      </c>
      <c r="AT44" s="360">
        <f t="shared" si="75"/>
        <v>2.4751715434732708</v>
      </c>
      <c r="AU44">
        <f t="shared" si="76"/>
        <v>4.6199999999999992</v>
      </c>
      <c r="AV44" s="542">
        <f t="shared" si="47"/>
        <v>0.65114704721267236</v>
      </c>
      <c r="AW44" s="551">
        <f t="shared" si="77"/>
        <v>67.877121259670375</v>
      </c>
      <c r="AX44" s="551">
        <f t="shared" si="78"/>
        <v>13.987064616956737</v>
      </c>
      <c r="AY44" s="9"/>
      <c r="AZ44" s="4">
        <f t="shared" si="48"/>
        <v>65.114704721267231</v>
      </c>
      <c r="BA44" s="360">
        <f t="shared" si="79"/>
        <v>0.31168440957408383</v>
      </c>
      <c r="BB44" s="360">
        <f t="shared" si="80"/>
        <v>1.7348840730080586</v>
      </c>
      <c r="BC44" s="360">
        <f t="shared" si="81"/>
        <v>1.3575424251934076</v>
      </c>
      <c r="BD44" s="360">
        <f t="shared" si="82"/>
        <v>0.36808064781465094</v>
      </c>
      <c r="BE44" s="360">
        <f t="shared" si="83"/>
        <v>2.2800299321594556E-2</v>
      </c>
    </row>
    <row r="45" spans="1:57" x14ac:dyDescent="0.2">
      <c r="A45" s="28" t="s">
        <v>123</v>
      </c>
      <c r="B45" s="447">
        <f>Vsp_Q1</f>
        <v>2.9624999999999999</v>
      </c>
      <c r="C45" s="445" t="s">
        <v>0</v>
      </c>
      <c r="G45">
        <v>36</v>
      </c>
      <c r="H45" s="548">
        <f t="shared" si="49"/>
        <v>21</v>
      </c>
      <c r="I45" s="4">
        <f t="shared" si="50"/>
        <v>1</v>
      </c>
      <c r="J45" s="360">
        <f t="shared" si="84"/>
        <v>1.44</v>
      </c>
      <c r="K45" s="360">
        <f t="shared" si="51"/>
        <v>1.44</v>
      </c>
      <c r="L45" s="4">
        <f t="shared" si="52"/>
        <v>0.25142857142857139</v>
      </c>
      <c r="M45" s="360">
        <f t="shared" si="53"/>
        <v>0.15827231291195923</v>
      </c>
      <c r="N45" s="4">
        <f t="shared" si="54"/>
        <v>1.960023042790723</v>
      </c>
      <c r="O45" s="4">
        <f t="shared" si="39"/>
        <v>2.4200115213953612</v>
      </c>
      <c r="P45" s="4">
        <f t="shared" si="40"/>
        <v>0.45998847860463843</v>
      </c>
      <c r="Q45" s="4">
        <f t="shared" si="55"/>
        <v>0</v>
      </c>
      <c r="R45" s="4">
        <f t="shared" si="41"/>
        <v>1.5471718911256167</v>
      </c>
      <c r="S45" s="360">
        <f t="shared" si="56"/>
        <v>1.1968704303446084E-2</v>
      </c>
      <c r="T45" s="360">
        <f t="shared" si="57"/>
        <v>0.3</v>
      </c>
      <c r="U45" s="360">
        <f t="shared" si="58"/>
        <v>0.31226769948413752</v>
      </c>
      <c r="V45" s="4">
        <f t="shared" si="42"/>
        <v>0.5658099156865467</v>
      </c>
      <c r="W45" s="360">
        <f t="shared" si="10"/>
        <v>6.4028172137843423E-4</v>
      </c>
      <c r="X45" s="360">
        <f t="shared" si="43"/>
        <v>6.4028172137843423E-4</v>
      </c>
      <c r="Y45" s="4">
        <f t="shared" si="44"/>
        <v>0.56471178017878032</v>
      </c>
      <c r="Z45" s="360">
        <f t="shared" si="11"/>
        <v>3.1889939467268715E-4</v>
      </c>
      <c r="AA45" s="541">
        <f t="shared" si="45"/>
        <v>3.1889939467268715E-4</v>
      </c>
      <c r="AB45" s="360">
        <f t="shared" si="46"/>
        <v>0.61551840145778447</v>
      </c>
      <c r="AC45" s="360">
        <f t="shared" si="59"/>
        <v>2.2731774151988778E-3</v>
      </c>
      <c r="AD45" s="360">
        <f t="shared" si="60"/>
        <v>0.11250914467655508</v>
      </c>
      <c r="AE45" s="360">
        <f t="shared" si="61"/>
        <v>0.63444464999999983</v>
      </c>
      <c r="AF45" s="360">
        <f t="shared" si="62"/>
        <v>0</v>
      </c>
      <c r="AG45" s="360">
        <f t="shared" si="63"/>
        <v>0.7495677521888412</v>
      </c>
      <c r="AH45" s="360">
        <f t="shared" si="64"/>
        <v>1.4194639686008486</v>
      </c>
      <c r="AI45" s="360">
        <f t="shared" si="65"/>
        <v>5.037194895390177E-3</v>
      </c>
      <c r="AJ45" s="360">
        <f t="shared" si="66"/>
        <v>5.9270399999999994E-2</v>
      </c>
      <c r="AK45" s="360">
        <f t="shared" si="67"/>
        <v>6.4356869966115421E-2</v>
      </c>
      <c r="AL45" s="360">
        <f t="shared" si="68"/>
        <v>5.9270399999999994E-2</v>
      </c>
      <c r="AM45" s="360">
        <f t="shared" si="69"/>
        <v>0.95255999999999996</v>
      </c>
      <c r="AN45" s="360">
        <f t="shared" si="70"/>
        <v>2.3937408606892169E-2</v>
      </c>
      <c r="AO45" s="360">
        <f t="shared" si="71"/>
        <v>7.3499999999999998E-4</v>
      </c>
      <c r="AP45" s="360">
        <f t="shared" si="72"/>
        <v>0.34650000000000003</v>
      </c>
      <c r="AQ45" s="360">
        <f t="shared" si="26"/>
        <v>1.3167</v>
      </c>
      <c r="AR45" s="360">
        <f t="shared" si="73"/>
        <v>1.1088</v>
      </c>
      <c r="AS45" s="360">
        <f t="shared" si="74"/>
        <v>0.34723500000000002</v>
      </c>
      <c r="AT45" s="360">
        <f t="shared" si="75"/>
        <v>2.510154311362037</v>
      </c>
      <c r="AU45">
        <f t="shared" si="76"/>
        <v>4.7519999999999998</v>
      </c>
      <c r="AV45" s="542">
        <f t="shared" si="47"/>
        <v>0.65435128424154199</v>
      </c>
      <c r="AW45" s="551">
        <f t="shared" si="77"/>
        <v>68.91286760944206</v>
      </c>
      <c r="AX45" s="551">
        <f t="shared" si="78"/>
        <v>14.390663458712385</v>
      </c>
      <c r="AY45" s="9"/>
      <c r="AZ45" s="4">
        <f t="shared" si="48"/>
        <v>65.4351284241542</v>
      </c>
      <c r="BA45" s="360">
        <f t="shared" si="79"/>
        <v>0.31226769948413752</v>
      </c>
      <c r="BB45" s="360">
        <f t="shared" si="80"/>
        <v>1.7664846221549566</v>
      </c>
      <c r="BC45" s="360">
        <f t="shared" si="81"/>
        <v>1.3782573521888413</v>
      </c>
      <c r="BD45" s="360">
        <f t="shared" si="82"/>
        <v>0.37870166996611543</v>
      </c>
      <c r="BE45" s="360">
        <f t="shared" si="83"/>
        <v>2.3937408606892169E-2</v>
      </c>
    </row>
    <row r="46" spans="1:57" x14ac:dyDescent="0.2">
      <c r="A46" s="77" t="s">
        <v>203</v>
      </c>
      <c r="B46" s="5">
        <f>Vsd_Q1</f>
        <v>0.7</v>
      </c>
      <c r="C46" s="445" t="s">
        <v>0</v>
      </c>
      <c r="G46">
        <v>37</v>
      </c>
      <c r="H46" s="548">
        <f t="shared" si="49"/>
        <v>21</v>
      </c>
      <c r="I46" s="4">
        <f t="shared" si="50"/>
        <v>1</v>
      </c>
      <c r="J46" s="360">
        <f t="shared" si="84"/>
        <v>1.48</v>
      </c>
      <c r="K46" s="360">
        <f t="shared" si="51"/>
        <v>1.48</v>
      </c>
      <c r="L46" s="4">
        <f t="shared" si="52"/>
        <v>0.25841269841269837</v>
      </c>
      <c r="M46" s="360">
        <f t="shared" si="53"/>
        <v>0.15830367231772871</v>
      </c>
      <c r="N46" s="4">
        <f t="shared" si="54"/>
        <v>1.9603626164134911</v>
      </c>
      <c r="O46" s="4">
        <f t="shared" si="39"/>
        <v>2.4601813082067454</v>
      </c>
      <c r="P46" s="4">
        <f t="shared" si="40"/>
        <v>0.49981869179325444</v>
      </c>
      <c r="Q46" s="4">
        <f t="shared" si="55"/>
        <v>0</v>
      </c>
      <c r="R46" s="4">
        <f t="shared" si="41"/>
        <v>1.5845036443586877</v>
      </c>
      <c r="S46" s="360">
        <f t="shared" si="56"/>
        <v>1.2553258994929815E-2</v>
      </c>
      <c r="T46" s="360">
        <f t="shared" si="57"/>
        <v>0.3</v>
      </c>
      <c r="U46" s="360">
        <f t="shared" si="58"/>
        <v>0.31286745949493988</v>
      </c>
      <c r="V46" s="4">
        <f t="shared" si="42"/>
        <v>0.56590794214780415</v>
      </c>
      <c r="W46" s="360">
        <f t="shared" si="10"/>
        <v>6.4050359797192496E-4</v>
      </c>
      <c r="X46" s="360">
        <f t="shared" si="43"/>
        <v>6.4050359797192496E-4</v>
      </c>
      <c r="Y46" s="4">
        <f t="shared" si="44"/>
        <v>0.57838424371155039</v>
      </c>
      <c r="Z46" s="360">
        <f t="shared" si="11"/>
        <v>3.3452833337378215E-4</v>
      </c>
      <c r="AA46" s="541">
        <f t="shared" si="45"/>
        <v>3.3452833337378215E-4</v>
      </c>
      <c r="AB46" s="360">
        <f t="shared" si="46"/>
        <v>0.63043270829692033</v>
      </c>
      <c r="AC46" s="360">
        <f t="shared" si="59"/>
        <v>2.384672398143539E-3</v>
      </c>
      <c r="AD46" s="360">
        <f t="shared" si="60"/>
        <v>0.11563439869534828</v>
      </c>
      <c r="AE46" s="360">
        <f t="shared" si="61"/>
        <v>0.63444464999999983</v>
      </c>
      <c r="AF46" s="360">
        <f t="shared" si="62"/>
        <v>0</v>
      </c>
      <c r="AG46" s="360">
        <f t="shared" si="63"/>
        <v>0.75282276822870953</v>
      </c>
      <c r="AH46" s="360">
        <f t="shared" si="64"/>
        <v>1.45368717380851</v>
      </c>
      <c r="AI46" s="360">
        <f t="shared" si="65"/>
        <v>5.2830159982384332E-3</v>
      </c>
      <c r="AJ46" s="360">
        <f t="shared" si="66"/>
        <v>6.0916799999999993E-2</v>
      </c>
      <c r="AK46" s="360">
        <f t="shared" si="67"/>
        <v>6.6253018393166038E-2</v>
      </c>
      <c r="AL46" s="360">
        <f t="shared" si="68"/>
        <v>6.0916799999999993E-2</v>
      </c>
      <c r="AM46" s="360">
        <f t="shared" si="69"/>
        <v>0.97901999999999989</v>
      </c>
      <c r="AN46" s="360">
        <f t="shared" si="70"/>
        <v>2.510651798985963E-2</v>
      </c>
      <c r="AO46" s="360">
        <f t="shared" si="71"/>
        <v>7.3499999999999998E-4</v>
      </c>
      <c r="AP46" s="360">
        <f t="shared" si="72"/>
        <v>0.34650000000000003</v>
      </c>
      <c r="AQ46" s="360">
        <f t="shared" si="26"/>
        <v>1.3167</v>
      </c>
      <c r="AR46" s="360">
        <f t="shared" si="73"/>
        <v>1.1088</v>
      </c>
      <c r="AS46" s="360">
        <f t="shared" si="74"/>
        <v>0.34723500000000002</v>
      </c>
      <c r="AT46" s="360">
        <f t="shared" si="75"/>
        <v>2.5451965960380205</v>
      </c>
      <c r="AU46">
        <f t="shared" si="76"/>
        <v>4.8839999999999995</v>
      </c>
      <c r="AV46" s="542">
        <f t="shared" si="47"/>
        <v>0.65740621302236502</v>
      </c>
      <c r="AW46" s="551">
        <f t="shared" si="77"/>
        <v>69.948798411435476</v>
      </c>
      <c r="AX46" s="551">
        <f t="shared" si="78"/>
        <v>14.79452549894031</v>
      </c>
      <c r="AY46" s="9"/>
      <c r="AZ46" s="4">
        <f t="shared" si="48"/>
        <v>65.740621302236505</v>
      </c>
      <c r="BA46" s="360">
        <f t="shared" si="79"/>
        <v>0.31286745949493988</v>
      </c>
      <c r="BB46" s="360">
        <f t="shared" si="80"/>
        <v>1.7980957866218754</v>
      </c>
      <c r="BC46" s="360">
        <f t="shared" si="81"/>
        <v>1.3989759682287095</v>
      </c>
      <c r="BD46" s="360">
        <f t="shared" si="82"/>
        <v>0.38932961839316604</v>
      </c>
      <c r="BE46" s="360">
        <f t="shared" si="83"/>
        <v>2.510651798985963E-2</v>
      </c>
    </row>
    <row r="47" spans="1:57" ht="15.75" x14ac:dyDescent="0.3">
      <c r="A47" s="446" t="s">
        <v>472</v>
      </c>
      <c r="B47" s="5">
        <f>ThetaJA_Q1</f>
        <v>50</v>
      </c>
      <c r="C47" s="441" t="s">
        <v>205</v>
      </c>
      <c r="D47" s="21" t="s">
        <v>103</v>
      </c>
      <c r="G47">
        <v>38</v>
      </c>
      <c r="H47" s="548">
        <f t="shared" si="49"/>
        <v>21</v>
      </c>
      <c r="I47" s="4">
        <f t="shared" si="50"/>
        <v>1</v>
      </c>
      <c r="J47" s="360">
        <f t="shared" si="84"/>
        <v>1.52</v>
      </c>
      <c r="K47" s="360">
        <f t="shared" si="51"/>
        <v>1.52</v>
      </c>
      <c r="L47" s="4">
        <f t="shared" si="52"/>
        <v>0.26539682539682535</v>
      </c>
      <c r="M47" s="360">
        <f t="shared" si="53"/>
        <v>0.15833503094734477</v>
      </c>
      <c r="N47" s="4">
        <f t="shared" si="54"/>
        <v>1.9607021610998336</v>
      </c>
      <c r="O47" s="4">
        <f t="shared" si="39"/>
        <v>2.5003510805499167</v>
      </c>
      <c r="P47" s="4">
        <f t="shared" si="40"/>
        <v>0.5396489194500832</v>
      </c>
      <c r="Q47" s="4">
        <f t="shared" si="55"/>
        <v>0</v>
      </c>
      <c r="R47" s="4">
        <f t="shared" si="41"/>
        <v>1.6219626219630126</v>
      </c>
      <c r="S47" s="360">
        <f t="shared" si="56"/>
        <v>1.3153813735225653E-2</v>
      </c>
      <c r="T47" s="360">
        <f t="shared" si="57"/>
        <v>0.3</v>
      </c>
      <c r="U47" s="360">
        <f t="shared" si="58"/>
        <v>0.31348369422505501</v>
      </c>
      <c r="V47" s="4">
        <f t="shared" si="42"/>
        <v>0.56600596025583505</v>
      </c>
      <c r="W47" s="360">
        <f t="shared" si="10"/>
        <v>6.4072549409025978E-4</v>
      </c>
      <c r="X47" s="360">
        <f t="shared" si="43"/>
        <v>6.4072549409025978E-4</v>
      </c>
      <c r="Y47" s="4">
        <f t="shared" si="44"/>
        <v>0.59210533369308294</v>
      </c>
      <c r="Z47" s="360">
        <f t="shared" si="11"/>
        <v>3.5058872618779705E-4</v>
      </c>
      <c r="AA47" s="541">
        <f t="shared" si="45"/>
        <v>3.5058872618779705E-4</v>
      </c>
      <c r="AB47" s="360">
        <f t="shared" si="46"/>
        <v>0.64540057403794771</v>
      </c>
      <c r="AC47" s="360">
        <f t="shared" si="59"/>
        <v>2.4992514058110745E-3</v>
      </c>
      <c r="AD47" s="360">
        <f t="shared" si="60"/>
        <v>0.11875965271414148</v>
      </c>
      <c r="AE47" s="360">
        <f t="shared" si="61"/>
        <v>0.63444464999999983</v>
      </c>
      <c r="AF47" s="360">
        <f t="shared" si="62"/>
        <v>0</v>
      </c>
      <c r="AG47" s="360">
        <f t="shared" si="63"/>
        <v>0.7560814816611422</v>
      </c>
      <c r="AH47" s="360">
        <f t="shared" si="64"/>
        <v>1.4880258217103015</v>
      </c>
      <c r="AI47" s="360">
        <f t="shared" si="65"/>
        <v>5.5355521151915455E-3</v>
      </c>
      <c r="AJ47" s="360">
        <f t="shared" si="66"/>
        <v>6.2563199999999999E-2</v>
      </c>
      <c r="AK47" s="360">
        <f t="shared" si="67"/>
        <v>6.8156098924101044E-2</v>
      </c>
      <c r="AL47" s="360">
        <f t="shared" si="68"/>
        <v>6.2563199999999999E-2</v>
      </c>
      <c r="AM47" s="360">
        <f t="shared" si="69"/>
        <v>1.0054799999999999</v>
      </c>
      <c r="AN47" s="360">
        <f t="shared" si="70"/>
        <v>2.6307627470451306E-2</v>
      </c>
      <c r="AO47" s="360">
        <f t="shared" si="71"/>
        <v>7.3499999999999998E-4</v>
      </c>
      <c r="AP47" s="360">
        <f t="shared" si="72"/>
        <v>0.34650000000000003</v>
      </c>
      <c r="AQ47" s="360">
        <f t="shared" si="26"/>
        <v>1.3167</v>
      </c>
      <c r="AR47" s="360">
        <f t="shared" si="73"/>
        <v>1.1088</v>
      </c>
      <c r="AS47" s="360">
        <f t="shared" si="74"/>
        <v>0.34723500000000002</v>
      </c>
      <c r="AT47" s="360">
        <f t="shared" si="75"/>
        <v>2.5802984165010274</v>
      </c>
      <c r="AU47">
        <f t="shared" si="76"/>
        <v>5.016</v>
      </c>
      <c r="AV47" s="542">
        <f t="shared" si="47"/>
        <v>0.66032160994412947</v>
      </c>
      <c r="AW47" s="551">
        <f t="shared" si="77"/>
        <v>70.98491408305712</v>
      </c>
      <c r="AX47" s="551">
        <f t="shared" si="78"/>
        <v>15.198650959115838</v>
      </c>
      <c r="AY47" s="9"/>
      <c r="AZ47" s="4">
        <f t="shared" si="48"/>
        <v>66.032160994412948</v>
      </c>
      <c r="BA47" s="360">
        <f t="shared" si="79"/>
        <v>0.31348369422505501</v>
      </c>
      <c r="BB47" s="360">
        <f t="shared" si="80"/>
        <v>1.829717580585243</v>
      </c>
      <c r="BC47" s="360">
        <f t="shared" si="81"/>
        <v>1.4196982816611423</v>
      </c>
      <c r="BD47" s="360">
        <f t="shared" si="82"/>
        <v>0.39996449892410102</v>
      </c>
      <c r="BE47" s="360">
        <f t="shared" si="83"/>
        <v>2.6307627470451306E-2</v>
      </c>
    </row>
    <row r="48" spans="1:57" x14ac:dyDescent="0.2">
      <c r="A48" s="24" t="s">
        <v>526</v>
      </c>
      <c r="B48" s="15" t="s">
        <v>111</v>
      </c>
      <c r="C48" s="24" t="s">
        <v>76</v>
      </c>
      <c r="D48" s="17" t="s">
        <v>107</v>
      </c>
      <c r="G48">
        <v>39</v>
      </c>
      <c r="H48" s="548">
        <f t="shared" si="49"/>
        <v>21</v>
      </c>
      <c r="I48" s="4">
        <f t="shared" si="50"/>
        <v>1</v>
      </c>
      <c r="J48" s="360">
        <f t="shared" si="84"/>
        <v>1.56</v>
      </c>
      <c r="K48" s="360">
        <f t="shared" si="51"/>
        <v>1.56</v>
      </c>
      <c r="L48" s="4">
        <f t="shared" si="52"/>
        <v>0.27238095238095233</v>
      </c>
      <c r="M48" s="360">
        <f t="shared" si="53"/>
        <v>0.15836638880083614</v>
      </c>
      <c r="N48" s="4">
        <f t="shared" si="54"/>
        <v>1.9610416768508241</v>
      </c>
      <c r="O48" s="4">
        <f t="shared" si="39"/>
        <v>2.5405208384254121</v>
      </c>
      <c r="P48" s="4">
        <f t="shared" si="40"/>
        <v>0.57947916157458801</v>
      </c>
      <c r="Q48" s="4">
        <f t="shared" si="55"/>
        <v>0</v>
      </c>
      <c r="R48" s="4">
        <f t="shared" si="41"/>
        <v>1.6595402088717699</v>
      </c>
      <c r="S48" s="360">
        <f t="shared" si="56"/>
        <v>1.3770368524310787E-2</v>
      </c>
      <c r="T48" s="360">
        <f t="shared" si="57"/>
        <v>0.3</v>
      </c>
      <c r="U48" s="360">
        <f t="shared" si="58"/>
        <v>0.31411640842058952</v>
      </c>
      <c r="V48" s="4">
        <f t="shared" si="42"/>
        <v>0.56610397001094925</v>
      </c>
      <c r="W48" s="360">
        <f t="shared" si="10"/>
        <v>6.4094740972431546E-4</v>
      </c>
      <c r="X48" s="360">
        <f t="shared" si="43"/>
        <v>6.4094740972431546E-4</v>
      </c>
      <c r="Y48" s="4">
        <f t="shared" si="44"/>
        <v>0.60587191545442665</v>
      </c>
      <c r="Z48" s="360">
        <f t="shared" si="11"/>
        <v>3.670807779364159E-4</v>
      </c>
      <c r="AA48" s="541">
        <f t="shared" si="45"/>
        <v>3.670807779364159E-4</v>
      </c>
      <c r="AB48" s="360">
        <f t="shared" si="46"/>
        <v>0.66041858478570981</v>
      </c>
      <c r="AC48" s="360">
        <f t="shared" si="59"/>
        <v>2.6169162427821585E-3</v>
      </c>
      <c r="AD48" s="360">
        <f t="shared" si="60"/>
        <v>0.12188490673293467</v>
      </c>
      <c r="AE48" s="360">
        <f t="shared" si="61"/>
        <v>0.63444464999999983</v>
      </c>
      <c r="AF48" s="360">
        <f t="shared" si="62"/>
        <v>0</v>
      </c>
      <c r="AG48" s="360">
        <f t="shared" si="63"/>
        <v>0.75934390085331671</v>
      </c>
      <c r="AH48" s="360">
        <f t="shared" si="64"/>
        <v>1.5224720022817491</v>
      </c>
      <c r="AI48" s="360">
        <f t="shared" si="65"/>
        <v>5.7948024943294948E-3</v>
      </c>
      <c r="AJ48" s="360">
        <f t="shared" si="66"/>
        <v>6.4209599999999992E-2</v>
      </c>
      <c r="AK48" s="360">
        <f t="shared" si="67"/>
        <v>7.0066117429761085E-2</v>
      </c>
      <c r="AL48" s="360">
        <f t="shared" si="68"/>
        <v>6.4209599999999992E-2</v>
      </c>
      <c r="AM48" s="360">
        <f t="shared" si="69"/>
        <v>1.0319399999999999</v>
      </c>
      <c r="AN48" s="360">
        <f t="shared" si="70"/>
        <v>2.7540737048621575E-2</v>
      </c>
      <c r="AO48" s="360">
        <f t="shared" si="71"/>
        <v>7.3499999999999998E-4</v>
      </c>
      <c r="AP48" s="360">
        <f t="shared" si="72"/>
        <v>0.34650000000000003</v>
      </c>
      <c r="AQ48" s="360">
        <f t="shared" si="26"/>
        <v>1.3167</v>
      </c>
      <c r="AR48" s="360">
        <f t="shared" si="73"/>
        <v>1.1088</v>
      </c>
      <c r="AS48" s="360">
        <f t="shared" si="74"/>
        <v>0.34723500000000002</v>
      </c>
      <c r="AT48" s="360">
        <f t="shared" si="75"/>
        <v>2.6154597919399492</v>
      </c>
      <c r="AU48">
        <f t="shared" si="76"/>
        <v>5.1479999999999997</v>
      </c>
      <c r="AV48" s="542">
        <f t="shared" si="47"/>
        <v>0.66310641620694311</v>
      </c>
      <c r="AW48" s="551">
        <f t="shared" si="77"/>
        <v>72.02121504266583</v>
      </c>
      <c r="AX48" s="551">
        <f t="shared" si="78"/>
        <v>15.603040062330921</v>
      </c>
      <c r="AY48" s="9"/>
      <c r="AZ48" s="4">
        <f t="shared" si="48"/>
        <v>66.310641620694312</v>
      </c>
      <c r="BA48" s="360">
        <f t="shared" si="79"/>
        <v>0.31411640842058952</v>
      </c>
      <c r="BB48" s="360">
        <f t="shared" si="80"/>
        <v>1.8613500182830776</v>
      </c>
      <c r="BC48" s="360">
        <f t="shared" si="81"/>
        <v>1.4404243008533166</v>
      </c>
      <c r="BD48" s="360">
        <f t="shared" si="82"/>
        <v>0.41060631742976106</v>
      </c>
      <c r="BE48" s="360">
        <f t="shared" si="83"/>
        <v>2.7540737048621575E-2</v>
      </c>
    </row>
    <row r="49" spans="1:64" x14ac:dyDescent="0.2">
      <c r="A49" s="23" t="s">
        <v>68</v>
      </c>
      <c r="B49" s="5">
        <f>Rdson2*1000</f>
        <v>2.5</v>
      </c>
      <c r="C49" s="442" t="s">
        <v>466</v>
      </c>
      <c r="D49" s="440" t="s">
        <v>527</v>
      </c>
      <c r="G49">
        <v>40</v>
      </c>
      <c r="H49" s="548">
        <f t="shared" si="49"/>
        <v>21</v>
      </c>
      <c r="I49" s="4">
        <f t="shared" si="50"/>
        <v>1</v>
      </c>
      <c r="J49" s="360">
        <f t="shared" si="84"/>
        <v>1.6</v>
      </c>
      <c r="K49" s="360">
        <f t="shared" si="51"/>
        <v>1.6</v>
      </c>
      <c r="L49" s="4">
        <f t="shared" si="52"/>
        <v>0.27936507936507937</v>
      </c>
      <c r="M49" s="360">
        <f t="shared" si="53"/>
        <v>0.15839774587823172</v>
      </c>
      <c r="N49" s="4">
        <f t="shared" si="54"/>
        <v>1.9613811636675376</v>
      </c>
      <c r="O49" s="4">
        <f t="shared" si="39"/>
        <v>2.5806905818337689</v>
      </c>
      <c r="P49" s="4">
        <f t="shared" si="40"/>
        <v>0.61930941816623131</v>
      </c>
      <c r="Q49" s="4">
        <f t="shared" si="55"/>
        <v>0</v>
      </c>
      <c r="R49" s="4">
        <f t="shared" si="41"/>
        <v>1.6972285268732923</v>
      </c>
      <c r="S49" s="360">
        <f t="shared" si="56"/>
        <v>1.440292336216243E-2</v>
      </c>
      <c r="T49" s="360">
        <f t="shared" si="57"/>
        <v>0.3</v>
      </c>
      <c r="U49" s="360">
        <f t="shared" si="58"/>
        <v>0.31476560695528416</v>
      </c>
      <c r="V49" s="4">
        <f t="shared" si="42"/>
        <v>0.56620197141345718</v>
      </c>
      <c r="W49" s="360">
        <f t="shared" si="10"/>
        <v>6.4116934486497081E-4</v>
      </c>
      <c r="X49" s="360">
        <f t="shared" si="43"/>
        <v>6.4116934486497081E-4</v>
      </c>
      <c r="Y49" s="4">
        <f t="shared" si="44"/>
        <v>0.61968112234717909</v>
      </c>
      <c r="Z49" s="360">
        <f t="shared" si="11"/>
        <v>3.8400469339345958E-4</v>
      </c>
      <c r="AA49" s="541">
        <f t="shared" si="45"/>
        <v>3.8400469339345958E-4</v>
      </c>
      <c r="AB49" s="360">
        <f t="shared" si="46"/>
        <v>0.6754836185465124</v>
      </c>
      <c r="AC49" s="360">
        <f t="shared" si="59"/>
        <v>2.7376687135481415E-3</v>
      </c>
      <c r="AD49" s="360">
        <f t="shared" si="60"/>
        <v>0.12501016075172788</v>
      </c>
      <c r="AE49" s="360">
        <f t="shared" si="61"/>
        <v>0.63444464999999983</v>
      </c>
      <c r="AF49" s="360">
        <f t="shared" si="62"/>
        <v>0</v>
      </c>
      <c r="AG49" s="360">
        <f t="shared" si="63"/>
        <v>0.76261003419152473</v>
      </c>
      <c r="AH49" s="360">
        <f t="shared" si="64"/>
        <v>1.5570184820700734</v>
      </c>
      <c r="AI49" s="360">
        <f t="shared" si="65"/>
        <v>6.0607663837694897E-3</v>
      </c>
      <c r="AJ49" s="360">
        <f t="shared" si="66"/>
        <v>6.5855999999999998E-2</v>
      </c>
      <c r="AK49" s="360">
        <f t="shared" si="67"/>
        <v>7.1983079823589521E-2</v>
      </c>
      <c r="AL49" s="360">
        <f t="shared" si="68"/>
        <v>6.5855999999999998E-2</v>
      </c>
      <c r="AM49" s="360">
        <f t="shared" si="69"/>
        <v>1.0584</v>
      </c>
      <c r="AN49" s="360">
        <f t="shared" si="70"/>
        <v>2.880584672432486E-2</v>
      </c>
      <c r="AO49" s="360">
        <f t="shared" si="71"/>
        <v>7.3499999999999998E-4</v>
      </c>
      <c r="AP49" s="360">
        <f t="shared" si="72"/>
        <v>0.34650000000000003</v>
      </c>
      <c r="AQ49" s="360">
        <f t="shared" si="26"/>
        <v>1.3167</v>
      </c>
      <c r="AR49" s="360">
        <f t="shared" si="73"/>
        <v>1.1088</v>
      </c>
      <c r="AS49" s="360">
        <f t="shared" si="74"/>
        <v>0.34723500000000002</v>
      </c>
      <c r="AT49" s="360">
        <f t="shared" si="75"/>
        <v>2.6506807417329816</v>
      </c>
      <c r="AU49">
        <f t="shared" si="76"/>
        <v>5.28</v>
      </c>
      <c r="AV49" s="542">
        <f t="shared" si="47"/>
        <v>0.66576882514201863</v>
      </c>
      <c r="AW49" s="551">
        <f t="shared" si="77"/>
        <v>73.057701709576236</v>
      </c>
      <c r="AX49" s="551">
        <f t="shared" si="78"/>
        <v>16.007693033296402</v>
      </c>
      <c r="AY49" s="9"/>
      <c r="AZ49" s="4">
        <f t="shared" si="48"/>
        <v>66.576882514201856</v>
      </c>
      <c r="BA49" s="360">
        <f t="shared" si="79"/>
        <v>0.31476560695528416</v>
      </c>
      <c r="BB49" s="360">
        <f t="shared" si="80"/>
        <v>1.8929931140151144</v>
      </c>
      <c r="BC49" s="360">
        <f t="shared" si="81"/>
        <v>1.4611540341915248</v>
      </c>
      <c r="BD49" s="360">
        <f t="shared" si="82"/>
        <v>0.42125507982358956</v>
      </c>
      <c r="BE49" s="360">
        <f t="shared" si="83"/>
        <v>2.880584672432486E-2</v>
      </c>
    </row>
    <row r="50" spans="1:64" x14ac:dyDescent="0.2">
      <c r="A50" s="23" t="s">
        <v>80</v>
      </c>
      <c r="B50" s="5">
        <f>RdsonBotTc*1000000</f>
        <v>4000</v>
      </c>
      <c r="C50" s="440" t="s">
        <v>81</v>
      </c>
      <c r="D50" s="21" t="s">
        <v>104</v>
      </c>
      <c r="G50">
        <v>41</v>
      </c>
      <c r="H50" s="548">
        <f t="shared" si="49"/>
        <v>21</v>
      </c>
      <c r="I50" s="4">
        <f t="shared" si="50"/>
        <v>1</v>
      </c>
      <c r="J50" s="360">
        <f t="shared" si="84"/>
        <v>1.64</v>
      </c>
      <c r="K50" s="360">
        <f t="shared" si="51"/>
        <v>1.64</v>
      </c>
      <c r="L50" s="4">
        <f t="shared" si="52"/>
        <v>0.28634920634920624</v>
      </c>
      <c r="M50" s="360">
        <f t="shared" si="53"/>
        <v>0.15842910217956027</v>
      </c>
      <c r="N50" s="4">
        <f t="shared" si="54"/>
        <v>1.9617206215510485</v>
      </c>
      <c r="O50" s="4">
        <f t="shared" si="39"/>
        <v>2.6208603107755239</v>
      </c>
      <c r="P50" s="4">
        <f t="shared" si="40"/>
        <v>0.65913968922447563</v>
      </c>
      <c r="Q50" s="4">
        <f t="shared" si="55"/>
        <v>0</v>
      </c>
      <c r="R50" s="4">
        <f t="shared" si="41"/>
        <v>1.7350203600394873</v>
      </c>
      <c r="S50" s="360">
        <f t="shared" si="56"/>
        <v>1.5051478248757761E-2</v>
      </c>
      <c r="T50" s="360">
        <f t="shared" si="57"/>
        <v>0.3</v>
      </c>
      <c r="U50" s="360">
        <f t="shared" si="58"/>
        <v>0.31543129483060739</v>
      </c>
      <c r="V50" s="4">
        <f t="shared" si="42"/>
        <v>0.56629996446366893</v>
      </c>
      <c r="W50" s="360">
        <f t="shared" si="10"/>
        <v>6.4139129950310542E-4</v>
      </c>
      <c r="X50" s="360">
        <f t="shared" si="43"/>
        <v>6.4139129950310542E-4</v>
      </c>
      <c r="Y50" s="4">
        <f t="shared" si="44"/>
        <v>0.6335303286227828</v>
      </c>
      <c r="Z50" s="360">
        <f t="shared" si="11"/>
        <v>4.0136067728489117E-4</v>
      </c>
      <c r="AA50" s="541">
        <f t="shared" si="45"/>
        <v>4.0136067728489117E-4</v>
      </c>
      <c r="AB50" s="360">
        <f t="shared" si="46"/>
        <v>0.69059281569183328</v>
      </c>
      <c r="AC50" s="360">
        <f t="shared" si="59"/>
        <v>2.8615106225110465E-3</v>
      </c>
      <c r="AD50" s="360">
        <f t="shared" si="60"/>
        <v>0.12813541477052107</v>
      </c>
      <c r="AE50" s="360">
        <f t="shared" si="61"/>
        <v>0.63444464999999983</v>
      </c>
      <c r="AF50" s="360">
        <f t="shared" si="62"/>
        <v>0</v>
      </c>
      <c r="AG50" s="360">
        <f t="shared" si="63"/>
        <v>0.76587989008123891</v>
      </c>
      <c r="AH50" s="360">
        <f t="shared" si="64"/>
        <v>1.5916586357213589</v>
      </c>
      <c r="AI50" s="360">
        <f t="shared" si="65"/>
        <v>6.3334430316659444E-3</v>
      </c>
      <c r="AJ50" s="360">
        <f t="shared" si="66"/>
        <v>6.750239999999999E-2</v>
      </c>
      <c r="AK50" s="360">
        <f t="shared" si="67"/>
        <v>7.3906992061693336E-2</v>
      </c>
      <c r="AL50" s="360">
        <f t="shared" si="68"/>
        <v>6.750239999999999E-2</v>
      </c>
      <c r="AM50" s="360">
        <f t="shared" si="69"/>
        <v>1.0848599999999997</v>
      </c>
      <c r="AN50" s="360">
        <f t="shared" si="70"/>
        <v>3.0102956497515522E-2</v>
      </c>
      <c r="AO50" s="360">
        <f t="shared" si="71"/>
        <v>7.3499999999999998E-4</v>
      </c>
      <c r="AP50" s="360">
        <f t="shared" si="72"/>
        <v>0.34650000000000003</v>
      </c>
      <c r="AQ50" s="360">
        <f t="shared" si="26"/>
        <v>1.3167</v>
      </c>
      <c r="AR50" s="360">
        <f t="shared" si="73"/>
        <v>1.1088</v>
      </c>
      <c r="AS50" s="360">
        <f t="shared" si="74"/>
        <v>0.34723500000000002</v>
      </c>
      <c r="AT50" s="360">
        <f t="shared" si="75"/>
        <v>2.685961285447843</v>
      </c>
      <c r="AU50">
        <f t="shared" si="76"/>
        <v>5.411999999999999</v>
      </c>
      <c r="AV50" s="542">
        <f t="shared" si="47"/>
        <v>0.66831635880075702</v>
      </c>
      <c r="AW50" s="551">
        <f t="shared" si="77"/>
        <v>74.094374504061932</v>
      </c>
      <c r="AX50" s="551">
        <f t="shared" si="78"/>
        <v>16.412610098344345</v>
      </c>
      <c r="AY50" s="9"/>
      <c r="AZ50" s="4">
        <f t="shared" si="48"/>
        <v>66.831635880075709</v>
      </c>
      <c r="BA50" s="360">
        <f t="shared" si="79"/>
        <v>0.31543129483060739</v>
      </c>
      <c r="BB50" s="360">
        <f t="shared" si="80"/>
        <v>1.9246468821429321</v>
      </c>
      <c r="BC50" s="360">
        <f t="shared" si="81"/>
        <v>1.4818874900812387</v>
      </c>
      <c r="BD50" s="360">
        <f t="shared" si="82"/>
        <v>0.43191079206169325</v>
      </c>
      <c r="BE50" s="360">
        <f t="shared" si="83"/>
        <v>3.0102956497515522E-2</v>
      </c>
    </row>
    <row r="51" spans="1:64" x14ac:dyDescent="0.2">
      <c r="A51" s="23" t="s">
        <v>67</v>
      </c>
      <c r="B51" s="5">
        <f>Qg_Q2*1000000000</f>
        <v>25</v>
      </c>
      <c r="C51" s="440" t="s">
        <v>65</v>
      </c>
      <c r="D51" s="21" t="s">
        <v>99</v>
      </c>
      <c r="G51">
        <v>42</v>
      </c>
      <c r="H51" s="548">
        <f t="shared" si="49"/>
        <v>21</v>
      </c>
      <c r="I51" s="4">
        <f t="shared" si="50"/>
        <v>1</v>
      </c>
      <c r="J51" s="360">
        <f t="shared" si="84"/>
        <v>1.68</v>
      </c>
      <c r="K51" s="360">
        <f t="shared" si="51"/>
        <v>1.68</v>
      </c>
      <c r="L51" s="4">
        <f t="shared" si="52"/>
        <v>0.29333333333333328</v>
      </c>
      <c r="M51" s="360">
        <f t="shared" si="53"/>
        <v>0.15846045770485062</v>
      </c>
      <c r="N51" s="4">
        <f t="shared" si="54"/>
        <v>1.9620600505024302</v>
      </c>
      <c r="O51" s="4">
        <f t="shared" si="39"/>
        <v>2.6610300252512151</v>
      </c>
      <c r="P51" s="4">
        <f t="shared" si="40"/>
        <v>0.69896997474878486</v>
      </c>
      <c r="Q51" s="4">
        <f t="shared" si="55"/>
        <v>0</v>
      </c>
      <c r="R51" s="4">
        <f t="shared" si="41"/>
        <v>1.7729090887055656</v>
      </c>
      <c r="S51" s="360">
        <f t="shared" si="56"/>
        <v>1.5716033184073996E-2</v>
      </c>
      <c r="T51" s="360">
        <f t="shared" si="57"/>
        <v>0.3</v>
      </c>
      <c r="U51" s="360">
        <f t="shared" si="58"/>
        <v>0.31611347717585225</v>
      </c>
      <c r="V51" s="4">
        <f t="shared" si="42"/>
        <v>0.56639794916189445</v>
      </c>
      <c r="W51" s="360">
        <f t="shared" si="10"/>
        <v>6.4161327362959996E-4</v>
      </c>
      <c r="X51" s="360">
        <f t="shared" si="43"/>
        <v>6.4161327362959996E-4</v>
      </c>
      <c r="Y51" s="4">
        <f t="shared" si="44"/>
        <v>0.64741712542133312</v>
      </c>
      <c r="Z51" s="360">
        <f t="shared" si="11"/>
        <v>4.1914893428882219E-4</v>
      </c>
      <c r="AA51" s="541">
        <f t="shared" si="45"/>
        <v>4.1914893428882219E-4</v>
      </c>
      <c r="AB51" s="360">
        <f t="shared" si="46"/>
        <v>0.70574355280838186</v>
      </c>
      <c r="AC51" s="360">
        <f t="shared" si="59"/>
        <v>2.9884437739835837E-3</v>
      </c>
      <c r="AD51" s="360">
        <f t="shared" si="60"/>
        <v>0.13126066878931428</v>
      </c>
      <c r="AE51" s="360">
        <f t="shared" si="61"/>
        <v>0.63444464999999983</v>
      </c>
      <c r="AF51" s="360">
        <f t="shared" si="62"/>
        <v>0</v>
      </c>
      <c r="AG51" s="360">
        <f t="shared" si="63"/>
        <v>0.76915347694718184</v>
      </c>
      <c r="AH51" s="360">
        <f t="shared" si="64"/>
        <v>1.6263863853599494</v>
      </c>
      <c r="AI51" s="360">
        <f t="shared" si="65"/>
        <v>6.6128316862105047E-3</v>
      </c>
      <c r="AJ51" s="360">
        <f t="shared" si="66"/>
        <v>6.9148799999999983E-2</v>
      </c>
      <c r="AK51" s="360">
        <f t="shared" si="67"/>
        <v>7.5837860142904737E-2</v>
      </c>
      <c r="AL51" s="360">
        <f t="shared" si="68"/>
        <v>6.9148799999999983E-2</v>
      </c>
      <c r="AM51" s="360">
        <f t="shared" si="69"/>
        <v>1.1113199999999999</v>
      </c>
      <c r="AN51" s="360">
        <f t="shared" si="70"/>
        <v>3.1432066368147993E-2</v>
      </c>
      <c r="AO51" s="360">
        <f t="shared" si="71"/>
        <v>7.3499999999999998E-4</v>
      </c>
      <c r="AP51" s="360">
        <f t="shared" si="72"/>
        <v>0.34650000000000003</v>
      </c>
      <c r="AQ51" s="360">
        <f t="shared" si="26"/>
        <v>1.3167</v>
      </c>
      <c r="AR51" s="360">
        <f t="shared" si="73"/>
        <v>1.1088</v>
      </c>
      <c r="AS51" s="360">
        <f t="shared" si="74"/>
        <v>0.34723500000000002</v>
      </c>
      <c r="AT51" s="360">
        <f t="shared" si="75"/>
        <v>2.7213014428420053</v>
      </c>
      <c r="AU51">
        <f t="shared" si="76"/>
        <v>5.5439999999999996</v>
      </c>
      <c r="AV51" s="542">
        <f t="shared" si="47"/>
        <v>0.67075593532057642</v>
      </c>
      <c r="AW51" s="551">
        <f t="shared" si="77"/>
        <v>75.131233847359084</v>
      </c>
      <c r="AX51" s="551">
        <f t="shared" si="78"/>
        <v>16.81779148543038</v>
      </c>
      <c r="AY51" s="9"/>
      <c r="AZ51" s="4">
        <f t="shared" si="48"/>
        <v>67.075593532057638</v>
      </c>
      <c r="BA51" s="360">
        <f t="shared" si="79"/>
        <v>0.31611347717585225</v>
      </c>
      <c r="BB51" s="360">
        <f t="shared" si="80"/>
        <v>1.9563113370900864</v>
      </c>
      <c r="BC51" s="360">
        <f t="shared" si="81"/>
        <v>1.5026246769471818</v>
      </c>
      <c r="BD51" s="360">
        <f t="shared" si="82"/>
        <v>0.44257346014290472</v>
      </c>
      <c r="BE51" s="360">
        <f t="shared" si="83"/>
        <v>3.1432066368147993E-2</v>
      </c>
    </row>
    <row r="52" spans="1:64" x14ac:dyDescent="0.2">
      <c r="A52" s="23" t="s">
        <v>91</v>
      </c>
      <c r="B52" s="5">
        <f>Rgate2</f>
        <v>0.5</v>
      </c>
      <c r="C52" s="444" t="s">
        <v>116</v>
      </c>
      <c r="D52" s="21" t="s">
        <v>100</v>
      </c>
      <c r="G52">
        <v>43</v>
      </c>
      <c r="H52" s="548">
        <f t="shared" si="49"/>
        <v>21</v>
      </c>
      <c r="I52" s="4">
        <f t="shared" si="50"/>
        <v>1</v>
      </c>
      <c r="J52" s="360">
        <f t="shared" si="84"/>
        <v>1.72</v>
      </c>
      <c r="K52" s="360">
        <f t="shared" si="51"/>
        <v>1.72</v>
      </c>
      <c r="L52" s="4">
        <f t="shared" si="52"/>
        <v>0.30031746031746026</v>
      </c>
      <c r="M52" s="360">
        <f t="shared" si="53"/>
        <v>0.15849181245413155</v>
      </c>
      <c r="N52" s="4">
        <f t="shared" si="54"/>
        <v>1.9623994505227562</v>
      </c>
      <c r="O52" s="4">
        <f t="shared" si="39"/>
        <v>2.701199725261378</v>
      </c>
      <c r="P52" s="4">
        <f t="shared" si="40"/>
        <v>0.73880027473862186</v>
      </c>
      <c r="Q52" s="4">
        <f t="shared" si="55"/>
        <v>0</v>
      </c>
      <c r="R52" s="4">
        <f t="shared" si="41"/>
        <v>1.8108886309261725</v>
      </c>
      <c r="S52" s="360">
        <f t="shared" si="56"/>
        <v>1.6396588168088339E-2</v>
      </c>
      <c r="T52" s="360">
        <f t="shared" si="57"/>
        <v>0.3</v>
      </c>
      <c r="U52" s="360">
        <f t="shared" si="58"/>
        <v>0.31681215924823525</v>
      </c>
      <c r="V52" s="4">
        <f t="shared" si="42"/>
        <v>0.56649592550844352</v>
      </c>
      <c r="W52" s="360">
        <f t="shared" si="10"/>
        <v>6.4183526723533607E-4</v>
      </c>
      <c r="X52" s="360">
        <f t="shared" si="43"/>
        <v>6.4183526723533607E-4</v>
      </c>
      <c r="Y52" s="4">
        <f t="shared" si="44"/>
        <v>0.66133929947910797</v>
      </c>
      <c r="Z52" s="360">
        <f t="shared" si="11"/>
        <v>4.3736966903551726E-4</v>
      </c>
      <c r="AA52" s="541">
        <f t="shared" si="45"/>
        <v>4.3736966903551726E-4</v>
      </c>
      <c r="AB52" s="360">
        <f t="shared" si="46"/>
        <v>0.72093341950894307</v>
      </c>
      <c r="AC52" s="360">
        <f t="shared" si="59"/>
        <v>3.1184699721891465E-3</v>
      </c>
      <c r="AD52" s="360">
        <f t="shared" si="60"/>
        <v>0.13438592280810746</v>
      </c>
      <c r="AE52" s="360">
        <f t="shared" si="61"/>
        <v>0.63444464999999983</v>
      </c>
      <c r="AF52" s="360">
        <f t="shared" si="62"/>
        <v>0</v>
      </c>
      <c r="AG52" s="360">
        <f t="shared" si="63"/>
        <v>0.77243080323339186</v>
      </c>
      <c r="AH52" s="360">
        <f t="shared" si="64"/>
        <v>1.661196146833001</v>
      </c>
      <c r="AI52" s="360">
        <f t="shared" si="65"/>
        <v>6.8989315956320234E-3</v>
      </c>
      <c r="AJ52" s="360">
        <f t="shared" si="66"/>
        <v>7.0795199999999989E-2</v>
      </c>
      <c r="AK52" s="360">
        <f t="shared" si="67"/>
        <v>7.7775690108843346E-2</v>
      </c>
      <c r="AL52" s="360">
        <f t="shared" si="68"/>
        <v>7.0795199999999989E-2</v>
      </c>
      <c r="AM52" s="360">
        <f t="shared" si="69"/>
        <v>1.1377799999999998</v>
      </c>
      <c r="AN52" s="360">
        <f t="shared" si="70"/>
        <v>3.2793176336176677E-2</v>
      </c>
      <c r="AO52" s="360">
        <f t="shared" si="71"/>
        <v>7.3499999999999998E-4</v>
      </c>
      <c r="AP52" s="360">
        <f t="shared" si="72"/>
        <v>0.34650000000000003</v>
      </c>
      <c r="AQ52" s="360">
        <f t="shared" si="26"/>
        <v>1.3167</v>
      </c>
      <c r="AR52" s="360">
        <f t="shared" si="73"/>
        <v>1.1088</v>
      </c>
      <c r="AS52" s="360">
        <f t="shared" si="74"/>
        <v>0.34723500000000002</v>
      </c>
      <c r="AT52" s="360">
        <f t="shared" si="75"/>
        <v>2.7567012338629175</v>
      </c>
      <c r="AU52">
        <f t="shared" si="76"/>
        <v>5.6759999999999993</v>
      </c>
      <c r="AV52" s="542">
        <f t="shared" si="47"/>
        <v>0.67309392833782322</v>
      </c>
      <c r="AW52" s="551">
        <f t="shared" si="77"/>
        <v>76.168280161669585</v>
      </c>
      <c r="AX52" s="551">
        <f t="shared" si="78"/>
        <v>17.223237424136045</v>
      </c>
      <c r="AY52" s="9"/>
      <c r="AZ52" s="4">
        <f t="shared" si="48"/>
        <v>67.309392833782326</v>
      </c>
      <c r="BA52" s="360">
        <f t="shared" si="79"/>
        <v>0.31681215924823525</v>
      </c>
      <c r="BB52" s="360">
        <f t="shared" si="80"/>
        <v>1.9879864933422349</v>
      </c>
      <c r="BC52" s="360">
        <f t="shared" si="81"/>
        <v>1.5233656032333918</v>
      </c>
      <c r="BD52" s="360">
        <f t="shared" si="82"/>
        <v>0.45324309010884328</v>
      </c>
      <c r="BE52" s="360">
        <f t="shared" si="83"/>
        <v>3.2793176336176677E-2</v>
      </c>
    </row>
    <row r="53" spans="1:64" x14ac:dyDescent="0.2">
      <c r="A53" s="23" t="s">
        <v>72</v>
      </c>
      <c r="B53" s="5">
        <f>Vsd_Q2</f>
        <v>0.7</v>
      </c>
      <c r="C53" s="440" t="s">
        <v>0</v>
      </c>
      <c r="D53" s="21" t="s">
        <v>105</v>
      </c>
      <c r="G53">
        <v>44</v>
      </c>
      <c r="H53" s="548">
        <f t="shared" si="49"/>
        <v>21</v>
      </c>
      <c r="I53" s="4">
        <f t="shared" si="50"/>
        <v>1</v>
      </c>
      <c r="J53" s="360">
        <f t="shared" si="84"/>
        <v>1.76</v>
      </c>
      <c r="K53" s="360">
        <f t="shared" si="51"/>
        <v>1.76</v>
      </c>
      <c r="L53" s="4">
        <f t="shared" si="52"/>
        <v>0.30730158730158724</v>
      </c>
      <c r="M53" s="360">
        <f t="shared" si="53"/>
        <v>0.15852316642743192</v>
      </c>
      <c r="N53" s="4">
        <f t="shared" si="54"/>
        <v>1.9627388216131021</v>
      </c>
      <c r="O53" s="4">
        <f t="shared" si="39"/>
        <v>2.7413694108065512</v>
      </c>
      <c r="P53" s="4">
        <f t="shared" si="40"/>
        <v>0.77863058919344896</v>
      </c>
      <c r="Q53" s="4">
        <f t="shared" si="55"/>
        <v>0</v>
      </c>
      <c r="R53" s="4">
        <f t="shared" si="41"/>
        <v>1.848953390476785</v>
      </c>
      <c r="S53" s="360">
        <f t="shared" si="56"/>
        <v>1.7093143200777993E-2</v>
      </c>
      <c r="T53" s="360">
        <f t="shared" si="57"/>
        <v>0.3</v>
      </c>
      <c r="U53" s="360">
        <f t="shared" si="58"/>
        <v>0.31752734643299735</v>
      </c>
      <c r="V53" s="4">
        <f t="shared" si="42"/>
        <v>0.56659389350362666</v>
      </c>
      <c r="W53" s="360">
        <f t="shared" si="10"/>
        <v>6.42057280311198E-4</v>
      </c>
      <c r="X53" s="360">
        <f t="shared" si="43"/>
        <v>6.42057280311198E-4</v>
      </c>
      <c r="Y53" s="4">
        <f t="shared" si="44"/>
        <v>0.67529481421627935</v>
      </c>
      <c r="Z53" s="360">
        <f t="shared" si="11"/>
        <v>4.5602308610739921E-4</v>
      </c>
      <c r="AA53" s="541">
        <f t="shared" si="45"/>
        <v>4.5602308610739921E-4</v>
      </c>
      <c r="AB53" s="360">
        <f t="shared" si="46"/>
        <v>0.73616019783534281</v>
      </c>
      <c r="AC53" s="360">
        <f t="shared" si="59"/>
        <v>3.2515910212618268E-3</v>
      </c>
      <c r="AD53" s="360">
        <f t="shared" si="60"/>
        <v>0.13751117682690067</v>
      </c>
      <c r="AE53" s="360">
        <f t="shared" si="61"/>
        <v>0.63444464999999983</v>
      </c>
      <c r="AF53" s="360">
        <f t="shared" si="62"/>
        <v>0</v>
      </c>
      <c r="AG53" s="360">
        <f t="shared" si="63"/>
        <v>0.77571187740329239</v>
      </c>
      <c r="AH53" s="360">
        <f t="shared" si="64"/>
        <v>1.6960827819651454</v>
      </c>
      <c r="AI53" s="360">
        <f t="shared" si="65"/>
        <v>7.1917420081965677E-3</v>
      </c>
      <c r="AJ53" s="360">
        <f t="shared" si="66"/>
        <v>7.2441599999999995E-2</v>
      </c>
      <c r="AK53" s="360">
        <f t="shared" si="67"/>
        <v>7.9720488043979104E-2</v>
      </c>
      <c r="AL53" s="360">
        <f t="shared" si="68"/>
        <v>7.2441599999999995E-2</v>
      </c>
      <c r="AM53" s="360">
        <f t="shared" si="69"/>
        <v>1.1642399999999999</v>
      </c>
      <c r="AN53" s="360">
        <f t="shared" si="70"/>
        <v>3.4186286401555986E-2</v>
      </c>
      <c r="AO53" s="360">
        <f t="shared" si="71"/>
        <v>7.3499999999999998E-4</v>
      </c>
      <c r="AP53" s="360">
        <f t="shared" si="72"/>
        <v>0.34650000000000003</v>
      </c>
      <c r="AQ53" s="360">
        <f t="shared" si="26"/>
        <v>1.3167</v>
      </c>
      <c r="AR53" s="360">
        <f t="shared" si="73"/>
        <v>1.1088</v>
      </c>
      <c r="AS53" s="360">
        <f t="shared" si="74"/>
        <v>0.34723500000000002</v>
      </c>
      <c r="AT53" s="360">
        <f t="shared" si="75"/>
        <v>2.7921606786482429</v>
      </c>
      <c r="AU53">
        <f t="shared" si="76"/>
        <v>5.8079999999999998</v>
      </c>
      <c r="AV53" s="542">
        <f t="shared" si="47"/>
        <v>0.67533621952199274</v>
      </c>
      <c r="AW53" s="551">
        <f t="shared" si="77"/>
        <v>77.205513870164623</v>
      </c>
      <c r="AX53" s="551">
        <f t="shared" si="78"/>
        <v>17.628948145671206</v>
      </c>
      <c r="AY53" s="9"/>
      <c r="AZ53" s="4">
        <f t="shared" si="48"/>
        <v>67.533621952199269</v>
      </c>
      <c r="BA53" s="360">
        <f t="shared" si="79"/>
        <v>0.31752734643299735</v>
      </c>
      <c r="BB53" s="360">
        <f t="shared" si="80"/>
        <v>2.0196723654472715</v>
      </c>
      <c r="BC53" s="360">
        <f t="shared" si="81"/>
        <v>1.5441102774032924</v>
      </c>
      <c r="BD53" s="360">
        <f t="shared" si="82"/>
        <v>0.46391968804397909</v>
      </c>
      <c r="BE53" s="360">
        <f t="shared" si="83"/>
        <v>3.4186286401555986E-2</v>
      </c>
    </row>
    <row r="54" spans="1:64" x14ac:dyDescent="0.2">
      <c r="A54" s="23" t="s">
        <v>73</v>
      </c>
      <c r="B54" s="5">
        <f>Qrr_Q2*1000000000</f>
        <v>59.999999999999993</v>
      </c>
      <c r="C54" s="440" t="s">
        <v>65</v>
      </c>
      <c r="D54" s="21" t="s">
        <v>110</v>
      </c>
      <c r="G54">
        <v>45</v>
      </c>
      <c r="H54" s="548">
        <f t="shared" si="49"/>
        <v>21</v>
      </c>
      <c r="I54" s="4">
        <f t="shared" si="50"/>
        <v>1</v>
      </c>
      <c r="J54" s="360">
        <f t="shared" si="84"/>
        <v>1.8</v>
      </c>
      <c r="K54" s="360">
        <f t="shared" si="51"/>
        <v>1.8</v>
      </c>
      <c r="L54" s="4">
        <f t="shared" si="52"/>
        <v>0.31428571428571422</v>
      </c>
      <c r="M54" s="360">
        <f t="shared" si="53"/>
        <v>0.15855451962478045</v>
      </c>
      <c r="N54" s="4">
        <f t="shared" si="54"/>
        <v>1.9630781637745398</v>
      </c>
      <c r="O54" s="4">
        <f t="shared" si="39"/>
        <v>2.7815390818872698</v>
      </c>
      <c r="P54" s="4">
        <f t="shared" si="40"/>
        <v>0.81846091811273014</v>
      </c>
      <c r="Q54" s="4">
        <f t="shared" si="55"/>
        <v>0</v>
      </c>
      <c r="R54" s="4">
        <f t="shared" si="41"/>
        <v>1.8870982105931942</v>
      </c>
      <c r="S54" s="360">
        <f t="shared" si="56"/>
        <v>1.7805698282120176E-2</v>
      </c>
      <c r="T54" s="360">
        <f t="shared" si="57"/>
        <v>0.3</v>
      </c>
      <c r="U54" s="360">
        <f t="shared" si="58"/>
        <v>0.31825904424350865</v>
      </c>
      <c r="V54" s="4">
        <f t="shared" si="42"/>
        <v>0.56669185314775339</v>
      </c>
      <c r="W54" s="360">
        <f t="shared" si="10"/>
        <v>6.4227931284806987E-4</v>
      </c>
      <c r="X54" s="360">
        <f t="shared" si="43"/>
        <v>6.4227931284806987E-4</v>
      </c>
      <c r="Y54" s="4">
        <f t="shared" si="44"/>
        <v>0.68928179291132785</v>
      </c>
      <c r="Z54" s="360">
        <f t="shared" si="11"/>
        <v>4.7510939003905469E-4</v>
      </c>
      <c r="AA54" s="541">
        <f t="shared" si="45"/>
        <v>4.7510939003905469E-4</v>
      </c>
      <c r="AB54" s="360">
        <f t="shared" si="46"/>
        <v>0.75142184393393074</v>
      </c>
      <c r="AC54" s="360">
        <f t="shared" si="59"/>
        <v>3.3878087252464115E-3</v>
      </c>
      <c r="AD54" s="360">
        <f t="shared" si="60"/>
        <v>0.14063643084569388</v>
      </c>
      <c r="AE54" s="360">
        <f t="shared" si="61"/>
        <v>0.63444464999999983</v>
      </c>
      <c r="AF54" s="360">
        <f t="shared" si="62"/>
        <v>0</v>
      </c>
      <c r="AG54" s="360">
        <f t="shared" si="63"/>
        <v>0.7789967079397595</v>
      </c>
      <c r="AH54" s="360">
        <f t="shared" si="64"/>
        <v>1.7310415560820507</v>
      </c>
      <c r="AI54" s="360">
        <f t="shared" si="65"/>
        <v>7.4912621722074196E-3</v>
      </c>
      <c r="AJ54" s="360">
        <f t="shared" si="66"/>
        <v>7.4087999999999987E-2</v>
      </c>
      <c r="AK54" s="360">
        <f t="shared" si="67"/>
        <v>8.1672260075695807E-2</v>
      </c>
      <c r="AL54" s="360">
        <f t="shared" si="68"/>
        <v>7.4087999999999987E-2</v>
      </c>
      <c r="AM54" s="360">
        <f t="shared" si="69"/>
        <v>1.1906999999999999</v>
      </c>
      <c r="AN54" s="360">
        <f t="shared" si="70"/>
        <v>3.5611396564240352E-2</v>
      </c>
      <c r="AO54" s="360">
        <f t="shared" si="71"/>
        <v>7.3499999999999998E-4</v>
      </c>
      <c r="AP54" s="360">
        <f t="shared" si="72"/>
        <v>0.34650000000000003</v>
      </c>
      <c r="AQ54" s="360">
        <f t="shared" si="26"/>
        <v>1.3167</v>
      </c>
      <c r="AR54" s="360">
        <f t="shared" si="73"/>
        <v>1.1088</v>
      </c>
      <c r="AS54" s="360">
        <f t="shared" si="74"/>
        <v>0.34723500000000002</v>
      </c>
      <c r="AT54" s="360">
        <f t="shared" si="75"/>
        <v>2.8276797975260912</v>
      </c>
      <c r="AU54">
        <f t="shared" si="76"/>
        <v>5.9399999999999995</v>
      </c>
      <c r="AV54" s="542">
        <f t="shared" si="47"/>
        <v>0.67748824514280781</v>
      </c>
      <c r="AW54" s="551">
        <f t="shared" si="77"/>
        <v>78.242935396987974</v>
      </c>
      <c r="AX54" s="551">
        <f t="shared" si="78"/>
        <v>18.034923882876438</v>
      </c>
      <c r="AY54" s="9"/>
      <c r="AZ54" s="4">
        <f t="shared" si="48"/>
        <v>67.748824514280784</v>
      </c>
      <c r="BA54" s="360">
        <f t="shared" si="79"/>
        <v>0.31825904424350865</v>
      </c>
      <c r="BB54" s="360">
        <f t="shared" si="80"/>
        <v>2.0513689680154554</v>
      </c>
      <c r="BC54" s="360">
        <f t="shared" si="81"/>
        <v>1.5648587079397593</v>
      </c>
      <c r="BD54" s="360">
        <f t="shared" si="82"/>
        <v>0.47460326007569575</v>
      </c>
      <c r="BE54" s="360">
        <f t="shared" si="83"/>
        <v>3.5611396564240352E-2</v>
      </c>
    </row>
    <row r="55" spans="1:64" x14ac:dyDescent="0.2">
      <c r="A55" s="23" t="s">
        <v>74</v>
      </c>
      <c r="B55" s="5">
        <f>Trr_Q2*1000000000</f>
        <v>40</v>
      </c>
      <c r="C55" s="440" t="s">
        <v>75</v>
      </c>
      <c r="D55" s="76" t="s">
        <v>106</v>
      </c>
      <c r="G55">
        <v>46</v>
      </c>
      <c r="H55" s="548">
        <f t="shared" si="49"/>
        <v>21</v>
      </c>
      <c r="I55" s="4">
        <f t="shared" si="50"/>
        <v>1</v>
      </c>
      <c r="J55" s="360">
        <f t="shared" si="84"/>
        <v>1.84</v>
      </c>
      <c r="K55" s="360">
        <f t="shared" si="51"/>
        <v>1.84</v>
      </c>
      <c r="L55" s="4">
        <f t="shared" si="52"/>
        <v>0.32126984126984126</v>
      </c>
      <c r="M55" s="360">
        <f t="shared" si="53"/>
        <v>0.15858587204620606</v>
      </c>
      <c r="N55" s="4">
        <f t="shared" si="54"/>
        <v>1.9634174770081454</v>
      </c>
      <c r="O55" s="4">
        <f t="shared" si="39"/>
        <v>2.8217087385040727</v>
      </c>
      <c r="P55" s="4">
        <f t="shared" si="40"/>
        <v>0.85829126149592738</v>
      </c>
      <c r="Q55" s="4">
        <f t="shared" si="55"/>
        <v>0</v>
      </c>
      <c r="R55" s="4">
        <f t="shared" si="41"/>
        <v>1.9253183327487482</v>
      </c>
      <c r="S55" s="360">
        <f t="shared" si="56"/>
        <v>1.8534253412092097E-2</v>
      </c>
      <c r="T55" s="360">
        <f t="shared" si="57"/>
        <v>0.3</v>
      </c>
      <c r="U55" s="360">
        <f t="shared" si="58"/>
        <v>0.31900725832137405</v>
      </c>
      <c r="V55" s="4">
        <f t="shared" si="42"/>
        <v>0.56678980444113436</v>
      </c>
      <c r="W55" s="360">
        <f t="shared" si="10"/>
        <v>6.4250136483683866E-4</v>
      </c>
      <c r="X55" s="360">
        <f t="shared" si="43"/>
        <v>6.4250136483683866E-4</v>
      </c>
      <c r="Y55" s="4">
        <f t="shared" si="44"/>
        <v>0.70329850370752167</v>
      </c>
      <c r="Z55" s="360">
        <f t="shared" si="11"/>
        <v>4.9462878531723886E-4</v>
      </c>
      <c r="AA55" s="541">
        <f t="shared" si="45"/>
        <v>4.9462878531723886E-4</v>
      </c>
      <c r="AB55" s="360">
        <f t="shared" si="46"/>
        <v>0.76671647172628232</v>
      </c>
      <c r="AC55" s="360">
        <f t="shared" si="59"/>
        <v>3.5271248880983947E-3</v>
      </c>
      <c r="AD55" s="360">
        <f t="shared" si="60"/>
        <v>0.14376168486448704</v>
      </c>
      <c r="AE55" s="360">
        <f t="shared" si="61"/>
        <v>0.63444464999999983</v>
      </c>
      <c r="AF55" s="360">
        <f t="shared" si="62"/>
        <v>0</v>
      </c>
      <c r="AG55" s="360">
        <f t="shared" si="63"/>
        <v>0.78228530334518975</v>
      </c>
      <c r="AH55" s="360">
        <f t="shared" si="64"/>
        <v>1.7660681001597929</v>
      </c>
      <c r="AI55" s="360">
        <f t="shared" si="65"/>
        <v>7.7974913360050503E-3</v>
      </c>
      <c r="AJ55" s="360">
        <f t="shared" si="66"/>
        <v>7.5734399999999993E-2</v>
      </c>
      <c r="AK55" s="360">
        <f t="shared" si="67"/>
        <v>8.3631012374355412E-2</v>
      </c>
      <c r="AL55" s="360">
        <f t="shared" si="68"/>
        <v>7.5734399999999993E-2</v>
      </c>
      <c r="AM55" s="360">
        <f t="shared" si="69"/>
        <v>1.21716</v>
      </c>
      <c r="AN55" s="360">
        <f t="shared" si="70"/>
        <v>3.7068506824184194E-2</v>
      </c>
      <c r="AO55" s="360">
        <f t="shared" si="71"/>
        <v>7.3499999999999998E-4</v>
      </c>
      <c r="AP55" s="360">
        <f t="shared" si="72"/>
        <v>0.34650000000000003</v>
      </c>
      <c r="AQ55" s="360">
        <f t="shared" si="26"/>
        <v>1.3167</v>
      </c>
      <c r="AR55" s="360">
        <f t="shared" si="73"/>
        <v>1.1088</v>
      </c>
      <c r="AS55" s="360">
        <f t="shared" si="74"/>
        <v>0.34723500000000002</v>
      </c>
      <c r="AT55" s="360">
        <f t="shared" si="75"/>
        <v>2.8632586110152576</v>
      </c>
      <c r="AU55">
        <f t="shared" si="76"/>
        <v>6.0720000000000001</v>
      </c>
      <c r="AV55" s="542">
        <f t="shared" si="47"/>
        <v>0.67955503744620516</v>
      </c>
      <c r="AW55" s="551">
        <f t="shared" si="77"/>
        <v>79.28054516725949</v>
      </c>
      <c r="AX55" s="551">
        <f t="shared" si="78"/>
        <v>18.441164870225506</v>
      </c>
      <c r="AY55" s="9"/>
      <c r="AZ55" s="4">
        <f t="shared" si="48"/>
        <v>67.955503744620515</v>
      </c>
      <c r="BA55" s="360">
        <f t="shared" si="79"/>
        <v>0.31900725832137405</v>
      </c>
      <c r="BB55" s="360">
        <f t="shared" si="80"/>
        <v>2.0830763157195453</v>
      </c>
      <c r="BC55" s="360">
        <f t="shared" si="81"/>
        <v>1.5856109033451897</v>
      </c>
      <c r="BD55" s="360">
        <f t="shared" si="82"/>
        <v>0.48529381237435543</v>
      </c>
      <c r="BE55" s="360">
        <f t="shared" si="83"/>
        <v>3.7068506824184194E-2</v>
      </c>
    </row>
    <row r="56" spans="1:64" ht="15.75" x14ac:dyDescent="0.3">
      <c r="A56" s="446" t="s">
        <v>471</v>
      </c>
      <c r="B56" s="5">
        <f>ThetaJA_Q2</f>
        <v>38</v>
      </c>
      <c r="C56" s="441" t="s">
        <v>205</v>
      </c>
      <c r="D56" s="76" t="s">
        <v>103</v>
      </c>
      <c r="E56" s="2"/>
      <c r="G56">
        <v>47</v>
      </c>
      <c r="H56" s="548">
        <f t="shared" si="49"/>
        <v>21</v>
      </c>
      <c r="I56" s="4">
        <f t="shared" si="50"/>
        <v>1</v>
      </c>
      <c r="J56" s="360">
        <f t="shared" si="84"/>
        <v>1.88</v>
      </c>
      <c r="K56" s="360">
        <f t="shared" si="51"/>
        <v>1.88</v>
      </c>
      <c r="L56" s="4">
        <f t="shared" si="52"/>
        <v>0.32825396825396819</v>
      </c>
      <c r="M56" s="360">
        <f t="shared" si="53"/>
        <v>0.15861722369173747</v>
      </c>
      <c r="N56" s="4">
        <f t="shared" si="54"/>
        <v>1.9637567613149916</v>
      </c>
      <c r="O56" s="4">
        <f t="shared" si="39"/>
        <v>2.8618783806574957</v>
      </c>
      <c r="P56" s="4">
        <f t="shared" si="40"/>
        <v>0.89812161934250412</v>
      </c>
      <c r="Q56" s="4">
        <f t="shared" si="55"/>
        <v>0</v>
      </c>
      <c r="R56" s="4">
        <f t="shared" si="41"/>
        <v>1.9636093598611193</v>
      </c>
      <c r="S56" s="360">
        <f t="shared" si="56"/>
        <v>1.9278808590670972E-2</v>
      </c>
      <c r="T56" s="360">
        <f t="shared" si="57"/>
        <v>0.3</v>
      </c>
      <c r="U56" s="360">
        <f t="shared" si="58"/>
        <v>0.31977199443654292</v>
      </c>
      <c r="V56" s="4">
        <f t="shared" si="42"/>
        <v>0.5668877473840791</v>
      </c>
      <c r="W56" s="360">
        <f t="shared" si="10"/>
        <v>6.4272343626839098E-4</v>
      </c>
      <c r="X56" s="360">
        <f t="shared" si="43"/>
        <v>6.4272343626839098E-4</v>
      </c>
      <c r="Y56" s="4">
        <f t="shared" si="44"/>
        <v>0.71734334623029883</v>
      </c>
      <c r="Z56" s="360">
        <f t="shared" si="11"/>
        <v>5.145814763808824E-4</v>
      </c>
      <c r="AA56" s="541">
        <f t="shared" si="45"/>
        <v>5.145814763808824E-4</v>
      </c>
      <c r="AB56" s="360">
        <f t="shared" si="46"/>
        <v>0.78204233833426784</v>
      </c>
      <c r="AC56" s="360">
        <f t="shared" si="59"/>
        <v>3.6695413136839769E-3</v>
      </c>
      <c r="AD56" s="360">
        <f t="shared" si="60"/>
        <v>0.14688693888328025</v>
      </c>
      <c r="AE56" s="360">
        <f t="shared" si="61"/>
        <v>0.63444464999999983</v>
      </c>
      <c r="AF56" s="360">
        <f t="shared" si="62"/>
        <v>0</v>
      </c>
      <c r="AG56" s="360">
        <f t="shared" si="63"/>
        <v>0.78557767214157037</v>
      </c>
      <c r="AH56" s="360">
        <f t="shared" si="64"/>
        <v>1.8011583770415263</v>
      </c>
      <c r="AI56" s="360">
        <f t="shared" si="65"/>
        <v>8.1104287479671616E-3</v>
      </c>
      <c r="AJ56" s="360">
        <f t="shared" si="66"/>
        <v>7.7380799999999986E-2</v>
      </c>
      <c r="AK56" s="360">
        <f t="shared" si="67"/>
        <v>8.5596751153362752E-2</v>
      </c>
      <c r="AL56" s="360">
        <f t="shared" si="68"/>
        <v>7.7380799999999986E-2</v>
      </c>
      <c r="AM56" s="360">
        <f t="shared" si="69"/>
        <v>1.2436199999999997</v>
      </c>
      <c r="AN56" s="360">
        <f t="shared" si="70"/>
        <v>3.8557617181341944E-2</v>
      </c>
      <c r="AO56" s="360">
        <f t="shared" si="71"/>
        <v>7.3499999999999998E-4</v>
      </c>
      <c r="AP56" s="360">
        <f t="shared" si="72"/>
        <v>0.34650000000000003</v>
      </c>
      <c r="AQ56" s="360">
        <f t="shared" si="26"/>
        <v>1.3167</v>
      </c>
      <c r="AR56" s="360">
        <f t="shared" si="73"/>
        <v>1.1088</v>
      </c>
      <c r="AS56" s="360">
        <f t="shared" si="74"/>
        <v>0.34723500000000002</v>
      </c>
      <c r="AT56" s="360">
        <f t="shared" si="75"/>
        <v>2.898897139825467</v>
      </c>
      <c r="AU56">
        <f t="shared" si="76"/>
        <v>6.2039999999999997</v>
      </c>
      <c r="AV56" s="542">
        <f t="shared" si="47"/>
        <v>0.6815412615020443</v>
      </c>
      <c r="AW56" s="551">
        <f t="shared" si="77"/>
        <v>80.318343607078518</v>
      </c>
      <c r="AX56" s="551">
        <f t="shared" si="78"/>
        <v>18.847671343827781</v>
      </c>
      <c r="AY56" s="9"/>
      <c r="AZ56" s="4">
        <f t="shared" si="48"/>
        <v>68.154126150204434</v>
      </c>
      <c r="BA56" s="360">
        <f t="shared" si="79"/>
        <v>0.31977199443654292</v>
      </c>
      <c r="BB56" s="360">
        <f t="shared" si="80"/>
        <v>2.1147944232949327</v>
      </c>
      <c r="BC56" s="360">
        <f t="shared" si="81"/>
        <v>1.6063668721415703</v>
      </c>
      <c r="BD56" s="360">
        <f t="shared" si="82"/>
        <v>0.49599135115336268</v>
      </c>
      <c r="BE56" s="360">
        <f t="shared" si="83"/>
        <v>3.8557617181341944E-2</v>
      </c>
      <c r="BK56" s="18"/>
      <c r="BL56" s="19"/>
    </row>
    <row r="57" spans="1:64" x14ac:dyDescent="0.2">
      <c r="A57" s="24" t="s">
        <v>224</v>
      </c>
      <c r="B57" s="15" t="s">
        <v>111</v>
      </c>
      <c r="C57" s="24" t="s">
        <v>76</v>
      </c>
      <c r="D57" s="24" t="s">
        <v>213</v>
      </c>
      <c r="G57">
        <v>48</v>
      </c>
      <c r="H57" s="548">
        <f t="shared" si="49"/>
        <v>21</v>
      </c>
      <c r="I57" s="4">
        <f t="shared" si="50"/>
        <v>1</v>
      </c>
      <c r="J57" s="360">
        <f t="shared" si="84"/>
        <v>1.92</v>
      </c>
      <c r="K57" s="360">
        <f t="shared" si="51"/>
        <v>1.92</v>
      </c>
      <c r="L57" s="4">
        <f t="shared" si="52"/>
        <v>0.33523809523809517</v>
      </c>
      <c r="M57" s="360">
        <f t="shared" si="53"/>
        <v>0.15864857456140349</v>
      </c>
      <c r="N57" s="4">
        <f t="shared" si="54"/>
        <v>1.9640960166961516</v>
      </c>
      <c r="O57" s="4">
        <f t="shared" si="39"/>
        <v>2.9020480083480757</v>
      </c>
      <c r="P57" s="4">
        <f t="shared" si="40"/>
        <v>0.93795199165192411</v>
      </c>
      <c r="Q57" s="4">
        <f t="shared" si="55"/>
        <v>0</v>
      </c>
      <c r="R57" s="4">
        <f t="shared" si="41"/>
        <v>2.0019672233997254</v>
      </c>
      <c r="S57" s="360">
        <f t="shared" si="56"/>
        <v>2.0039363817834031E-2</v>
      </c>
      <c r="T57" s="360">
        <f t="shared" si="57"/>
        <v>0.3</v>
      </c>
      <c r="U57" s="360">
        <f t="shared" si="58"/>
        <v>0.32055325848741978</v>
      </c>
      <c r="V57" s="4">
        <f t="shared" si="42"/>
        <v>0.56698568197689747</v>
      </c>
      <c r="W57" s="360">
        <f t="shared" si="10"/>
        <v>6.429455271336151E-4</v>
      </c>
      <c r="X57" s="360">
        <f t="shared" si="43"/>
        <v>6.429455271336151E-4</v>
      </c>
      <c r="Y57" s="4">
        <f t="shared" si="44"/>
        <v>0.73141483962324294</v>
      </c>
      <c r="Z57" s="360">
        <f t="shared" si="11"/>
        <v>5.3496766762109417E-4</v>
      </c>
      <c r="AA57" s="541">
        <f t="shared" si="45"/>
        <v>5.3496766762109417E-4</v>
      </c>
      <c r="AB57" s="360">
        <f t="shared" si="46"/>
        <v>0.79739783105006423</v>
      </c>
      <c r="AC57" s="360">
        <f t="shared" si="59"/>
        <v>3.8150598057800807E-3</v>
      </c>
      <c r="AD57" s="360">
        <f t="shared" si="60"/>
        <v>0.15001219290207343</v>
      </c>
      <c r="AE57" s="360">
        <f t="shared" si="61"/>
        <v>0.63444464999999983</v>
      </c>
      <c r="AF57" s="360">
        <f t="shared" si="62"/>
        <v>0</v>
      </c>
      <c r="AG57" s="360">
        <f t="shared" si="63"/>
        <v>0.78887382287054653</v>
      </c>
      <c r="AH57" s="360">
        <f t="shared" si="64"/>
        <v>1.8363086512358044</v>
      </c>
      <c r="AI57" s="360">
        <f t="shared" si="65"/>
        <v>8.4300736565086493E-3</v>
      </c>
      <c r="AJ57" s="360">
        <f t="shared" si="66"/>
        <v>7.9027199999999992E-2</v>
      </c>
      <c r="AK57" s="360">
        <f t="shared" si="67"/>
        <v>8.7569482669231161E-2</v>
      </c>
      <c r="AL57" s="360">
        <f t="shared" si="68"/>
        <v>7.9027199999999992E-2</v>
      </c>
      <c r="AM57" s="360">
        <f t="shared" si="69"/>
        <v>1.2700799999999999</v>
      </c>
      <c r="AN57" s="360">
        <f t="shared" si="70"/>
        <v>4.0078727635668061E-2</v>
      </c>
      <c r="AO57" s="360">
        <f t="shared" si="71"/>
        <v>7.3499999999999998E-4</v>
      </c>
      <c r="AP57" s="360">
        <f t="shared" si="72"/>
        <v>0.34650000000000003</v>
      </c>
      <c r="AQ57" s="360">
        <f t="shared" si="26"/>
        <v>1.3167</v>
      </c>
      <c r="AR57" s="360">
        <f t="shared" si="73"/>
        <v>1.1088</v>
      </c>
      <c r="AS57" s="360">
        <f t="shared" si="74"/>
        <v>0.34723500000000002</v>
      </c>
      <c r="AT57" s="360">
        <f t="shared" si="75"/>
        <v>2.9345954048576202</v>
      </c>
      <c r="AU57">
        <f t="shared" si="76"/>
        <v>6.3359999999999994</v>
      </c>
      <c r="AV57" s="542">
        <f t="shared" si="47"/>
        <v>0.68345124809136348</v>
      </c>
      <c r="AW57" s="551">
        <f t="shared" si="77"/>
        <v>81.356331143527314</v>
      </c>
      <c r="AX57" s="551">
        <f t="shared" si="78"/>
        <v>19.254443541430785</v>
      </c>
      <c r="AY57" s="9"/>
      <c r="AZ57" s="4">
        <f t="shared" si="48"/>
        <v>68.345124809136351</v>
      </c>
      <c r="BA57" s="360">
        <f t="shared" si="79"/>
        <v>0.32055325848741978</v>
      </c>
      <c r="BB57" s="360">
        <f t="shared" si="80"/>
        <v>2.1465233055397777</v>
      </c>
      <c r="BC57" s="360">
        <f t="shared" si="81"/>
        <v>1.6271266228705463</v>
      </c>
      <c r="BD57" s="360">
        <f t="shared" si="82"/>
        <v>0.50669588266923116</v>
      </c>
      <c r="BE57" s="360">
        <f t="shared" si="83"/>
        <v>4.0078727635668061E-2</v>
      </c>
      <c r="BK57" s="18"/>
      <c r="BL57" s="19"/>
    </row>
    <row r="58" spans="1:64" x14ac:dyDescent="0.2">
      <c r="A58" s="23" t="s">
        <v>195</v>
      </c>
      <c r="B58" s="73">
        <f>VfdSky_Q2</f>
        <v>0</v>
      </c>
      <c r="C58" s="440" t="s">
        <v>0</v>
      </c>
      <c r="D58" s="76" t="s">
        <v>198</v>
      </c>
      <c r="G58">
        <v>49</v>
      </c>
      <c r="H58" s="548">
        <f t="shared" si="49"/>
        <v>21</v>
      </c>
      <c r="I58" s="4">
        <f t="shared" si="50"/>
        <v>1</v>
      </c>
      <c r="J58" s="360">
        <f t="shared" si="84"/>
        <v>1.96</v>
      </c>
      <c r="K58" s="360">
        <f t="shared" si="51"/>
        <v>1.96</v>
      </c>
      <c r="L58" s="4">
        <f t="shared" si="52"/>
        <v>0.34222222222222221</v>
      </c>
      <c r="M58" s="360">
        <f t="shared" si="53"/>
        <v>0.15867992465523295</v>
      </c>
      <c r="N58" s="4">
        <f t="shared" si="54"/>
        <v>1.9644352431527001</v>
      </c>
      <c r="O58" s="4">
        <f t="shared" si="39"/>
        <v>2.9422176215763498</v>
      </c>
      <c r="P58" s="4">
        <f t="shared" si="40"/>
        <v>0.9777823784236499</v>
      </c>
      <c r="Q58" s="4">
        <f t="shared" si="55"/>
        <v>0</v>
      </c>
      <c r="R58" s="4">
        <f t="shared" si="41"/>
        <v>2.0403881539333883</v>
      </c>
      <c r="S58" s="360">
        <f t="shared" si="56"/>
        <v>2.0815919093558503E-2</v>
      </c>
      <c r="T58" s="360">
        <f t="shared" si="57"/>
        <v>0.3</v>
      </c>
      <c r="U58" s="360">
        <f t="shared" si="58"/>
        <v>0.32135105650097884</v>
      </c>
      <c r="V58" s="4">
        <f t="shared" si="42"/>
        <v>0.56708360821989967</v>
      </c>
      <c r="W58" s="360">
        <f t="shared" si="10"/>
        <v>6.4316763742340132E-4</v>
      </c>
      <c r="X58" s="360">
        <f t="shared" si="43"/>
        <v>6.4316763742340132E-4</v>
      </c>
      <c r="Y58" s="4">
        <f t="shared" si="44"/>
        <v>0.74551161183523484</v>
      </c>
      <c r="Z58" s="360">
        <f t="shared" si="11"/>
        <v>5.5578756338116992E-4</v>
      </c>
      <c r="AA58" s="541">
        <f t="shared" si="45"/>
        <v>5.5578756338116992E-4</v>
      </c>
      <c r="AB58" s="360">
        <f t="shared" si="46"/>
        <v>0.81278145566877791</v>
      </c>
      <c r="AC58" s="360">
        <f t="shared" si="59"/>
        <v>3.9636821680743457E-3</v>
      </c>
      <c r="AD58" s="360">
        <f t="shared" si="60"/>
        <v>0.15313744692086664</v>
      </c>
      <c r="AE58" s="360">
        <f t="shared" si="61"/>
        <v>0.63444464999999983</v>
      </c>
      <c r="AF58" s="360">
        <f t="shared" si="62"/>
        <v>0</v>
      </c>
      <c r="AG58" s="360">
        <f t="shared" si="63"/>
        <v>0.79217376409349149</v>
      </c>
      <c r="AH58" s="360">
        <f t="shared" si="64"/>
        <v>1.8715154618737839</v>
      </c>
      <c r="AI58" s="360">
        <f t="shared" si="65"/>
        <v>8.7564253100816079E-3</v>
      </c>
      <c r="AJ58" s="360">
        <f t="shared" si="66"/>
        <v>8.0673599999999984E-2</v>
      </c>
      <c r="AK58" s="360">
        <f t="shared" si="67"/>
        <v>8.9549213221648688E-2</v>
      </c>
      <c r="AL58" s="360">
        <f t="shared" si="68"/>
        <v>8.0673599999999984E-2</v>
      </c>
      <c r="AM58" s="360">
        <f t="shared" si="69"/>
        <v>1.2965399999999998</v>
      </c>
      <c r="AN58" s="360">
        <f t="shared" si="70"/>
        <v>4.1631838187117007E-2</v>
      </c>
      <c r="AO58" s="360">
        <f t="shared" si="71"/>
        <v>7.3499999999999998E-4</v>
      </c>
      <c r="AP58" s="360">
        <f t="shared" si="72"/>
        <v>0.34650000000000003</v>
      </c>
      <c r="AQ58" s="360">
        <f t="shared" si="26"/>
        <v>1.3167</v>
      </c>
      <c r="AR58" s="360">
        <f t="shared" si="73"/>
        <v>1.1088</v>
      </c>
      <c r="AS58" s="360">
        <f t="shared" si="74"/>
        <v>0.34723500000000002</v>
      </c>
      <c r="AT58" s="360">
        <f t="shared" si="75"/>
        <v>2.9703534272040399</v>
      </c>
      <c r="AU58">
        <f t="shared" si="76"/>
        <v>6.468</v>
      </c>
      <c r="AV58" s="542">
        <f t="shared" si="47"/>
        <v>0.68528902312106366</v>
      </c>
      <c r="AW58" s="551">
        <f t="shared" si="77"/>
        <v>82.39450820467458</v>
      </c>
      <c r="AX58" s="551">
        <f t="shared" si="78"/>
        <v>19.661481702422648</v>
      </c>
      <c r="AY58" s="9"/>
      <c r="AZ58" s="4">
        <f t="shared" si="48"/>
        <v>68.528902312106368</v>
      </c>
      <c r="BA58" s="360">
        <f t="shared" si="79"/>
        <v>0.32135105650097884</v>
      </c>
      <c r="BB58" s="360">
        <f t="shared" si="80"/>
        <v>2.1782629773151401</v>
      </c>
      <c r="BC58" s="360">
        <f t="shared" si="81"/>
        <v>1.6478901640934915</v>
      </c>
      <c r="BD58" s="360">
        <f t="shared" si="82"/>
        <v>0.51740741322164863</v>
      </c>
      <c r="BE58" s="360">
        <f t="shared" si="83"/>
        <v>4.1631838187117007E-2</v>
      </c>
      <c r="BK58" s="18"/>
      <c r="BL58" s="19"/>
    </row>
    <row r="59" spans="1:64" x14ac:dyDescent="0.2">
      <c r="A59" s="23" t="s">
        <v>196</v>
      </c>
      <c r="B59" s="73">
        <f>QrrSky_Q2*1000000000</f>
        <v>0</v>
      </c>
      <c r="C59" s="440" t="s">
        <v>65</v>
      </c>
      <c r="D59" s="76" t="s">
        <v>199</v>
      </c>
      <c r="G59">
        <v>50</v>
      </c>
      <c r="H59" s="548">
        <f t="shared" si="49"/>
        <v>21</v>
      </c>
      <c r="I59" s="4">
        <f t="shared" si="50"/>
        <v>1</v>
      </c>
      <c r="J59" s="360">
        <f t="shared" si="84"/>
        <v>2</v>
      </c>
      <c r="K59" s="360">
        <f t="shared" si="51"/>
        <v>2</v>
      </c>
      <c r="L59" s="4">
        <f t="shared" si="52"/>
        <v>0.34920634920634913</v>
      </c>
      <c r="M59" s="360">
        <f t="shared" si="53"/>
        <v>0.15871127397325463</v>
      </c>
      <c r="N59" s="4">
        <f t="shared" si="54"/>
        <v>1.9647744406857111</v>
      </c>
      <c r="O59" s="4">
        <f t="shared" si="39"/>
        <v>2.9823872203428556</v>
      </c>
      <c r="P59" s="4">
        <f t="shared" si="40"/>
        <v>1.0176127796571444</v>
      </c>
      <c r="Q59" s="4">
        <f t="shared" si="55"/>
        <v>0</v>
      </c>
      <c r="R59" s="4">
        <f t="shared" si="41"/>
        <v>2.0788686547168682</v>
      </c>
      <c r="S59" s="360">
        <f t="shared" si="56"/>
        <v>2.1608474417821606E-2</v>
      </c>
      <c r="T59" s="360">
        <f t="shared" si="57"/>
        <v>0.3</v>
      </c>
      <c r="U59" s="360">
        <f t="shared" si="58"/>
        <v>0.32216539463288013</v>
      </c>
      <c r="V59" s="4">
        <f t="shared" si="42"/>
        <v>0.5671815261133959</v>
      </c>
      <c r="W59" s="360">
        <f t="shared" si="10"/>
        <v>6.433897671286416E-4</v>
      </c>
      <c r="X59" s="360">
        <f t="shared" si="43"/>
        <v>6.433897671286416E-4</v>
      </c>
      <c r="Y59" s="4">
        <f t="shared" si="44"/>
        <v>0.75963239001282257</v>
      </c>
      <c r="Z59" s="360">
        <f t="shared" si="11"/>
        <v>5.7704136795659296E-4</v>
      </c>
      <c r="AA59" s="541">
        <f t="shared" si="45"/>
        <v>5.7704136795659296E-4</v>
      </c>
      <c r="AB59" s="360">
        <f t="shared" si="46"/>
        <v>0.82819182602473795</v>
      </c>
      <c r="AC59" s="360">
        <f t="shared" si="59"/>
        <v>4.1154102041651387E-3</v>
      </c>
      <c r="AD59" s="360">
        <f t="shared" si="60"/>
        <v>0.15626270093965983</v>
      </c>
      <c r="AE59" s="360">
        <f t="shared" si="61"/>
        <v>0.63444464999999983</v>
      </c>
      <c r="AF59" s="360">
        <f t="shared" si="62"/>
        <v>0</v>
      </c>
      <c r="AG59" s="360">
        <f t="shared" si="63"/>
        <v>0.79547750439157616</v>
      </c>
      <c r="AH59" s="360">
        <f t="shared" si="64"/>
        <v>1.9067755984567591</v>
      </c>
      <c r="AI59" s="360">
        <f t="shared" si="65"/>
        <v>9.0894829571753297E-3</v>
      </c>
      <c r="AJ59" s="360">
        <f t="shared" si="66"/>
        <v>8.231999999999999E-2</v>
      </c>
      <c r="AK59" s="360">
        <f t="shared" si="67"/>
        <v>9.1535949153544918E-2</v>
      </c>
      <c r="AL59" s="360">
        <f t="shared" si="68"/>
        <v>8.231999999999999E-2</v>
      </c>
      <c r="AM59" s="360">
        <f t="shared" si="69"/>
        <v>1.323</v>
      </c>
      <c r="AN59" s="360">
        <f t="shared" si="70"/>
        <v>4.3216948835643212E-2</v>
      </c>
      <c r="AO59" s="360">
        <f t="shared" si="71"/>
        <v>7.3499999999999998E-4</v>
      </c>
      <c r="AP59" s="360">
        <f t="shared" si="72"/>
        <v>0.34650000000000003</v>
      </c>
      <c r="AQ59" s="360">
        <f t="shared" si="26"/>
        <v>1.3167</v>
      </c>
      <c r="AR59" s="360">
        <f t="shared" si="73"/>
        <v>1.1088</v>
      </c>
      <c r="AS59" s="360">
        <f t="shared" si="74"/>
        <v>0.34723500000000002</v>
      </c>
      <c r="AT59" s="360">
        <f t="shared" si="75"/>
        <v>3.0061712281487298</v>
      </c>
      <c r="AU59">
        <f t="shared" si="76"/>
        <v>6.6</v>
      </c>
      <c r="AV59" s="542">
        <f t="shared" si="47"/>
        <v>0.68705833398640448</v>
      </c>
      <c r="AW59" s="551">
        <f t="shared" si="77"/>
        <v>83.432875219578804</v>
      </c>
      <c r="AX59" s="551">
        <f t="shared" si="78"/>
        <v>20.068786067834708</v>
      </c>
      <c r="AY59" s="9"/>
      <c r="AZ59" s="4">
        <f t="shared" si="48"/>
        <v>68.705833398640451</v>
      </c>
      <c r="BA59" s="360">
        <f t="shared" si="79"/>
        <v>0.32216539463288013</v>
      </c>
      <c r="BB59" s="360">
        <f t="shared" si="80"/>
        <v>2.210013453545121</v>
      </c>
      <c r="BC59" s="360">
        <f t="shared" si="81"/>
        <v>1.6686575043915761</v>
      </c>
      <c r="BD59" s="360">
        <f t="shared" si="82"/>
        <v>0.52812594915354494</v>
      </c>
      <c r="BE59" s="360">
        <f t="shared" si="83"/>
        <v>4.3216948835643212E-2</v>
      </c>
      <c r="BK59" s="18"/>
      <c r="BL59" s="19"/>
    </row>
    <row r="60" spans="1:64" x14ac:dyDescent="0.2">
      <c r="A60" s="23" t="s">
        <v>197</v>
      </c>
      <c r="B60" s="73">
        <f>Ireverse</f>
        <v>0</v>
      </c>
      <c r="C60" s="440" t="s">
        <v>64</v>
      </c>
      <c r="D60" s="76" t="s">
        <v>200</v>
      </c>
      <c r="E60" s="2"/>
      <c r="G60">
        <v>51</v>
      </c>
      <c r="H60" s="548">
        <f t="shared" si="49"/>
        <v>21</v>
      </c>
      <c r="I60" s="4">
        <f t="shared" si="50"/>
        <v>1</v>
      </c>
      <c r="J60" s="360">
        <f t="shared" si="84"/>
        <v>2.04</v>
      </c>
      <c r="K60" s="360">
        <f t="shared" si="51"/>
        <v>2.04</v>
      </c>
      <c r="L60" s="4">
        <f t="shared" si="52"/>
        <v>0.35619047619047611</v>
      </c>
      <c r="M60" s="360">
        <f t="shared" si="53"/>
        <v>0.15874262251549734</v>
      </c>
      <c r="N60" s="4">
        <f t="shared" si="54"/>
        <v>1.9651136092962569</v>
      </c>
      <c r="O60" s="4">
        <f t="shared" si="39"/>
        <v>3.0225568046481284</v>
      </c>
      <c r="P60" s="4">
        <f t="shared" si="40"/>
        <v>1.0574431953518717</v>
      </c>
      <c r="Q60" s="4">
        <f t="shared" si="55"/>
        <v>0</v>
      </c>
      <c r="R60" s="4">
        <f t="shared" si="41"/>
        <v>2.1174054779659266</v>
      </c>
      <c r="S60" s="360">
        <f t="shared" si="56"/>
        <v>2.2417029790600573E-2</v>
      </c>
      <c r="T60" s="360">
        <f t="shared" si="57"/>
        <v>0.3</v>
      </c>
      <c r="U60" s="360">
        <f t="shared" si="58"/>
        <v>0.32299627916758877</v>
      </c>
      <c r="V60" s="4">
        <f t="shared" si="42"/>
        <v>0.56727943565769556</v>
      </c>
      <c r="W60" s="360">
        <f t="shared" si="10"/>
        <v>6.4361191624022712E-4</v>
      </c>
      <c r="X60" s="360">
        <f t="shared" si="43"/>
        <v>6.4361191624022712E-4</v>
      </c>
      <c r="Y60" s="4">
        <f t="shared" si="44"/>
        <v>0.77377599187041479</v>
      </c>
      <c r="Z60" s="360">
        <f t="shared" si="11"/>
        <v>5.9872928559504424E-4</v>
      </c>
      <c r="AA60" s="541">
        <f t="shared" si="45"/>
        <v>5.9872928559504424E-4</v>
      </c>
      <c r="AB60" s="360">
        <f t="shared" si="46"/>
        <v>0.84362765459270772</v>
      </c>
      <c r="AC60" s="360">
        <f t="shared" si="59"/>
        <v>4.2702457175615577E-3</v>
      </c>
      <c r="AD60" s="360">
        <f t="shared" si="60"/>
        <v>0.15938795495845304</v>
      </c>
      <c r="AE60" s="360">
        <f t="shared" si="61"/>
        <v>0.63444464999999983</v>
      </c>
      <c r="AF60" s="360">
        <f t="shared" si="62"/>
        <v>0</v>
      </c>
      <c r="AG60" s="360">
        <f t="shared" si="63"/>
        <v>0.79878505236583786</v>
      </c>
      <c r="AH60" s="360">
        <f t="shared" si="64"/>
        <v>1.9420860790723262</v>
      </c>
      <c r="AI60" s="360">
        <f t="shared" si="65"/>
        <v>9.4292458463163045E-3</v>
      </c>
      <c r="AJ60" s="360">
        <f t="shared" si="66"/>
        <v>8.3966399999999997E-2</v>
      </c>
      <c r="AK60" s="360">
        <f t="shared" si="67"/>
        <v>9.3529696851158528E-2</v>
      </c>
      <c r="AL60" s="360">
        <f t="shared" si="68"/>
        <v>8.3966399999999997E-2</v>
      </c>
      <c r="AM60" s="360">
        <f t="shared" si="69"/>
        <v>1.3494599999999999</v>
      </c>
      <c r="AN60" s="360">
        <f t="shared" si="70"/>
        <v>4.4834059581201145E-2</v>
      </c>
      <c r="AO60" s="360">
        <f t="shared" si="71"/>
        <v>7.3499999999999998E-4</v>
      </c>
      <c r="AP60" s="360">
        <f t="shared" si="72"/>
        <v>0.34650000000000003</v>
      </c>
      <c r="AQ60" s="360">
        <f t="shared" si="26"/>
        <v>1.3167</v>
      </c>
      <c r="AR60" s="360">
        <f t="shared" si="73"/>
        <v>1.1088</v>
      </c>
      <c r="AS60" s="360">
        <f t="shared" si="74"/>
        <v>0.34723500000000002</v>
      </c>
      <c r="AT60" s="360">
        <f t="shared" si="75"/>
        <v>3.0420488291676215</v>
      </c>
      <c r="AU60">
        <f t="shared" si="76"/>
        <v>6.7319999999999993</v>
      </c>
      <c r="AV60" s="542">
        <f t="shared" si="47"/>
        <v>0.68876267324452389</v>
      </c>
      <c r="AW60" s="551">
        <f t="shared" si="77"/>
        <v>84.471432618291885</v>
      </c>
      <c r="AX60" s="551">
        <f t="shared" si="78"/>
        <v>20.476356880344024</v>
      </c>
      <c r="AY60" s="9"/>
      <c r="AZ60" s="4">
        <f t="shared" si="48"/>
        <v>68.876267324452385</v>
      </c>
      <c r="BA60" s="360">
        <f t="shared" si="79"/>
        <v>0.32299627916758877</v>
      </c>
      <c r="BB60" s="360">
        <f t="shared" si="80"/>
        <v>2.2417747492169964</v>
      </c>
      <c r="BC60" s="360">
        <f t="shared" si="81"/>
        <v>1.6894286523658377</v>
      </c>
      <c r="BD60" s="360">
        <f t="shared" si="82"/>
        <v>0.53885149685115852</v>
      </c>
      <c r="BE60" s="360">
        <f t="shared" si="83"/>
        <v>4.4834059581201145E-2</v>
      </c>
      <c r="BK60" s="18"/>
      <c r="BL60" s="19"/>
    </row>
    <row r="61" spans="1:64" x14ac:dyDescent="0.2">
      <c r="A61" s="24" t="s">
        <v>117</v>
      </c>
      <c r="B61" s="15" t="s">
        <v>111</v>
      </c>
      <c r="C61" s="24" t="s">
        <v>76</v>
      </c>
      <c r="D61" s="24" t="s">
        <v>213</v>
      </c>
      <c r="G61">
        <v>52</v>
      </c>
      <c r="H61" s="548">
        <f t="shared" si="49"/>
        <v>21</v>
      </c>
      <c r="I61" s="4">
        <f t="shared" si="50"/>
        <v>1</v>
      </c>
      <c r="J61" s="360">
        <f t="shared" si="84"/>
        <v>2.08</v>
      </c>
      <c r="K61" s="360">
        <f t="shared" si="51"/>
        <v>2.08</v>
      </c>
      <c r="L61" s="4">
        <f t="shared" si="52"/>
        <v>0.36317460317460315</v>
      </c>
      <c r="M61" s="360">
        <f t="shared" si="53"/>
        <v>0.15877397028198986</v>
      </c>
      <c r="N61" s="4">
        <f t="shared" si="54"/>
        <v>1.9654527489854117</v>
      </c>
      <c r="O61" s="4">
        <f t="shared" si="39"/>
        <v>3.0627263744927058</v>
      </c>
      <c r="P61" s="4">
        <f t="shared" si="40"/>
        <v>1.0972736255072943</v>
      </c>
      <c r="Q61" s="4">
        <f t="shared" si="55"/>
        <v>0</v>
      </c>
      <c r="R61" s="4">
        <f t="shared" si="41"/>
        <v>2.1559956035146564</v>
      </c>
      <c r="S61" s="360">
        <f t="shared" si="56"/>
        <v>2.3241585211872636E-2</v>
      </c>
      <c r="T61" s="360">
        <f t="shared" si="57"/>
        <v>0.3</v>
      </c>
      <c r="U61" s="360">
        <f t="shared" si="58"/>
        <v>0.32384371651849614</v>
      </c>
      <c r="V61" s="4">
        <f t="shared" si="42"/>
        <v>0.56737733685310876</v>
      </c>
      <c r="W61" s="360">
        <f t="shared" si="10"/>
        <v>6.438340847490521E-4</v>
      </c>
      <c r="X61" s="360">
        <f t="shared" si="43"/>
        <v>6.438340847490521E-4</v>
      </c>
      <c r="Y61" s="4">
        <f t="shared" si="44"/>
        <v>0.78794131792691524</v>
      </c>
      <c r="Z61" s="360">
        <f t="shared" si="11"/>
        <v>6.2085152049640418E-4</v>
      </c>
      <c r="AA61" s="541">
        <f t="shared" si="45"/>
        <v>6.2085152049640418E-4</v>
      </c>
      <c r="AB61" s="360">
        <f t="shared" si="46"/>
        <v>0.85908774403272703</v>
      </c>
      <c r="AC61" s="360">
        <f t="shared" si="59"/>
        <v>4.4281905116834424E-3</v>
      </c>
      <c r="AD61" s="360">
        <f t="shared" si="60"/>
        <v>0.16251320897724622</v>
      </c>
      <c r="AE61" s="360">
        <f t="shared" si="61"/>
        <v>0.63444464999999983</v>
      </c>
      <c r="AF61" s="360">
        <f t="shared" si="62"/>
        <v>0</v>
      </c>
      <c r="AG61" s="360">
        <f t="shared" si="63"/>
        <v>0.80209641663725106</v>
      </c>
      <c r="AH61" s="360">
        <f t="shared" si="64"/>
        <v>1.9774441307979569</v>
      </c>
      <c r="AI61" s="360">
        <f t="shared" si="65"/>
        <v>9.7757132260682181E-3</v>
      </c>
      <c r="AJ61" s="360">
        <f t="shared" si="66"/>
        <v>8.5612799999999989E-2</v>
      </c>
      <c r="AK61" s="360">
        <f t="shared" si="67"/>
        <v>9.5530462744105468E-2</v>
      </c>
      <c r="AL61" s="360">
        <f t="shared" si="68"/>
        <v>8.5612799999999989E-2</v>
      </c>
      <c r="AM61" s="360">
        <f t="shared" si="69"/>
        <v>1.3759200000000003</v>
      </c>
      <c r="AN61" s="360">
        <f t="shared" si="70"/>
        <v>4.6483170423745272E-2</v>
      </c>
      <c r="AO61" s="360">
        <f t="shared" si="71"/>
        <v>7.3499999999999998E-4</v>
      </c>
      <c r="AP61" s="360">
        <f t="shared" si="72"/>
        <v>0.34650000000000003</v>
      </c>
      <c r="AQ61" s="360">
        <f t="shared" si="26"/>
        <v>1.3167</v>
      </c>
      <c r="AR61" s="360">
        <f t="shared" si="73"/>
        <v>1.1088</v>
      </c>
      <c r="AS61" s="360">
        <f t="shared" si="74"/>
        <v>0.34723500000000002</v>
      </c>
      <c r="AT61" s="360">
        <f t="shared" si="75"/>
        <v>3.0779862519288432</v>
      </c>
      <c r="AU61">
        <f t="shared" si="76"/>
        <v>6.8639999999999999</v>
      </c>
      <c r="AV61" s="542">
        <f t="shared" si="47"/>
        <v>0.6904052999136181</v>
      </c>
      <c r="AW61" s="551">
        <f t="shared" si="77"/>
        <v>85.51018083186257</v>
      </c>
      <c r="AX61" s="551">
        <f t="shared" si="78"/>
        <v>20.884194384276011</v>
      </c>
      <c r="AY61" s="9"/>
      <c r="AZ61" s="4">
        <f t="shared" si="48"/>
        <v>69.040529991361808</v>
      </c>
      <c r="BA61" s="360">
        <f t="shared" si="79"/>
        <v>0.32384371651849614</v>
      </c>
      <c r="BB61" s="360">
        <f t="shared" si="80"/>
        <v>2.2735468793813567</v>
      </c>
      <c r="BC61" s="360">
        <f t="shared" si="81"/>
        <v>1.7102036166372514</v>
      </c>
      <c r="BD61" s="360">
        <f t="shared" si="82"/>
        <v>0.54958406274410554</v>
      </c>
      <c r="BE61" s="360">
        <f t="shared" si="83"/>
        <v>4.6483170423745272E-2</v>
      </c>
      <c r="BK61" s="18"/>
      <c r="BL61" s="19"/>
    </row>
    <row r="62" spans="1:64" ht="15.75" x14ac:dyDescent="0.3">
      <c r="A62" s="446" t="s">
        <v>470</v>
      </c>
      <c r="B62" s="74">
        <v>30</v>
      </c>
      <c r="C62" s="441" t="s">
        <v>205</v>
      </c>
      <c r="D62" s="76" t="s">
        <v>103</v>
      </c>
      <c r="G62">
        <v>53</v>
      </c>
      <c r="H62" s="548">
        <f t="shared" si="49"/>
        <v>21</v>
      </c>
      <c r="I62" s="4">
        <f t="shared" si="50"/>
        <v>1</v>
      </c>
      <c r="J62" s="360">
        <f t="shared" si="84"/>
        <v>2.12</v>
      </c>
      <c r="K62" s="360">
        <f t="shared" si="51"/>
        <v>2.12</v>
      </c>
      <c r="L62" s="4">
        <f t="shared" si="52"/>
        <v>0.37015873015873008</v>
      </c>
      <c r="M62" s="360">
        <f t="shared" si="53"/>
        <v>0.15880531727276101</v>
      </c>
      <c r="N62" s="4">
        <f t="shared" si="54"/>
        <v>1.9657918597542501</v>
      </c>
      <c r="O62" s="4">
        <f t="shared" si="39"/>
        <v>3.1028959298771253</v>
      </c>
      <c r="P62" s="4">
        <f t="shared" si="40"/>
        <v>1.137104070122875</v>
      </c>
      <c r="Q62" s="4">
        <f t="shared" si="55"/>
        <v>0</v>
      </c>
      <c r="R62" s="4">
        <f t="shared" si="41"/>
        <v>2.1946362195869744</v>
      </c>
      <c r="S62" s="360">
        <f t="shared" si="56"/>
        <v>2.4082140681615034E-2</v>
      </c>
      <c r="T62" s="360">
        <f t="shared" si="57"/>
        <v>0.3</v>
      </c>
      <c r="U62" s="360">
        <f t="shared" si="58"/>
        <v>0.32470771322804409</v>
      </c>
      <c r="V62" s="4">
        <f t="shared" si="42"/>
        <v>0.56747522969994568</v>
      </c>
      <c r="W62" s="360">
        <f t="shared" si="10"/>
        <v>6.4405627264601216E-4</v>
      </c>
      <c r="X62" s="360">
        <f t="shared" si="43"/>
        <v>6.4405627264601216E-4</v>
      </c>
      <c r="Y62" s="4">
        <f t="shared" si="44"/>
        <v>0.80212734451130652</v>
      </c>
      <c r="Z62" s="360">
        <f t="shared" si="11"/>
        <v>6.4340827681276026E-4</v>
      </c>
      <c r="AA62" s="541">
        <f t="shared" si="45"/>
        <v>6.4340827681276026E-4</v>
      </c>
      <c r="AB62" s="360">
        <f t="shared" si="46"/>
        <v>0.87457097957240038</v>
      </c>
      <c r="AC62" s="360">
        <f t="shared" si="59"/>
        <v>4.589246389861368E-3</v>
      </c>
      <c r="AD62" s="360">
        <f t="shared" si="60"/>
        <v>0.16563846299603943</v>
      </c>
      <c r="AE62" s="360">
        <f t="shared" si="61"/>
        <v>0.63444464999999983</v>
      </c>
      <c r="AF62" s="360">
        <f t="shared" si="62"/>
        <v>0</v>
      </c>
      <c r="AG62" s="360">
        <f t="shared" si="63"/>
        <v>0.80541160584679761</v>
      </c>
      <c r="AH62" s="360">
        <f t="shared" si="64"/>
        <v>2.012847172045801</v>
      </c>
      <c r="AI62" s="360">
        <f t="shared" si="65"/>
        <v>1.0128884345031945E-2</v>
      </c>
      <c r="AJ62" s="360">
        <f t="shared" si="66"/>
        <v>8.7259199999999995E-2</v>
      </c>
      <c r="AK62" s="360">
        <f t="shared" si="67"/>
        <v>9.7538253305447922E-2</v>
      </c>
      <c r="AL62" s="360">
        <f t="shared" si="68"/>
        <v>8.7259199999999995E-2</v>
      </c>
      <c r="AM62" s="360">
        <f t="shared" si="69"/>
        <v>1.4023800000000002</v>
      </c>
      <c r="AN62" s="360">
        <f t="shared" si="70"/>
        <v>4.8164281363230067E-2</v>
      </c>
      <c r="AO62" s="360">
        <f t="shared" si="71"/>
        <v>7.3499999999999998E-4</v>
      </c>
      <c r="AP62" s="360">
        <f t="shared" si="72"/>
        <v>0.34650000000000003</v>
      </c>
      <c r="AQ62" s="360">
        <f t="shared" si="26"/>
        <v>1.3167</v>
      </c>
      <c r="AR62" s="360">
        <f t="shared" si="73"/>
        <v>1.1088</v>
      </c>
      <c r="AS62" s="360">
        <f t="shared" si="74"/>
        <v>0.34723500000000002</v>
      </c>
      <c r="AT62" s="360">
        <f t="shared" si="75"/>
        <v>3.1139835182929785</v>
      </c>
      <c r="AU62">
        <f t="shared" si="76"/>
        <v>6.9959999999999996</v>
      </c>
      <c r="AV62" s="542">
        <f t="shared" si="47"/>
        <v>0.69198925867104089</v>
      </c>
      <c r="AW62" s="551">
        <f t="shared" si="77"/>
        <v>86.549120292339893</v>
      </c>
      <c r="AX62" s="551">
        <f t="shared" si="78"/>
        <v>21.292298825607023</v>
      </c>
      <c r="AY62" s="9"/>
      <c r="AZ62" s="4">
        <f t="shared" si="48"/>
        <v>69.198925867104094</v>
      </c>
      <c r="BA62" s="360">
        <f t="shared" si="79"/>
        <v>0.32470771322804409</v>
      </c>
      <c r="BB62" s="360">
        <f t="shared" si="80"/>
        <v>2.3053298591522458</v>
      </c>
      <c r="BC62" s="360">
        <f t="shared" si="81"/>
        <v>1.7309824058467977</v>
      </c>
      <c r="BD62" s="360">
        <f t="shared" si="82"/>
        <v>0.56032365330544798</v>
      </c>
      <c r="BE62" s="360">
        <f t="shared" si="83"/>
        <v>4.8164281363230067E-2</v>
      </c>
      <c r="BK62" s="18"/>
      <c r="BL62" s="19"/>
    </row>
    <row r="63" spans="1:64" x14ac:dyDescent="0.2">
      <c r="A63" s="23" t="s">
        <v>118</v>
      </c>
      <c r="B63" s="74">
        <v>2</v>
      </c>
      <c r="C63" s="441" t="s">
        <v>205</v>
      </c>
      <c r="D63" s="21" t="s">
        <v>103</v>
      </c>
      <c r="G63">
        <v>54</v>
      </c>
      <c r="H63" s="548">
        <f t="shared" si="49"/>
        <v>21</v>
      </c>
      <c r="I63" s="4">
        <f t="shared" si="50"/>
        <v>1</v>
      </c>
      <c r="J63" s="360">
        <f t="shared" si="84"/>
        <v>2.16</v>
      </c>
      <c r="K63" s="360">
        <f t="shared" si="51"/>
        <v>2.16</v>
      </c>
      <c r="L63" s="4">
        <f t="shared" si="52"/>
        <v>0.37714285714285711</v>
      </c>
      <c r="M63" s="360">
        <f t="shared" si="53"/>
        <v>0.15883666348783954</v>
      </c>
      <c r="N63" s="4">
        <f t="shared" si="54"/>
        <v>1.9661309416038433</v>
      </c>
      <c r="O63" s="4">
        <f t="shared" si="39"/>
        <v>3.1430654708019219</v>
      </c>
      <c r="P63" s="4">
        <f t="shared" si="40"/>
        <v>1.1769345291980784</v>
      </c>
      <c r="Q63" s="4">
        <f t="shared" si="55"/>
        <v>0</v>
      </c>
      <c r="R63" s="4">
        <f t="shared" si="41"/>
        <v>2.2333247054472403</v>
      </c>
      <c r="S63" s="360">
        <f t="shared" si="56"/>
        <v>2.4938696199805013E-2</v>
      </c>
      <c r="T63" s="360">
        <f t="shared" si="57"/>
        <v>0.3</v>
      </c>
      <c r="U63" s="360">
        <f t="shared" si="58"/>
        <v>0.32558827596785145</v>
      </c>
      <c r="V63" s="4">
        <f t="shared" si="42"/>
        <v>0.56757311419851564</v>
      </c>
      <c r="W63" s="360">
        <f t="shared" si="10"/>
        <v>6.4427847992200261E-4</v>
      </c>
      <c r="X63" s="360">
        <f t="shared" si="43"/>
        <v>6.4427847992200261E-4</v>
      </c>
      <c r="Y63" s="4">
        <f t="shared" si="44"/>
        <v>0.81633311745169956</v>
      </c>
      <c r="Z63" s="360">
        <f t="shared" si="11"/>
        <v>6.6639975864841029E-4</v>
      </c>
      <c r="AA63" s="541">
        <f t="shared" si="45"/>
        <v>6.6639975864841029E-4</v>
      </c>
      <c r="AB63" s="360">
        <f t="shared" si="46"/>
        <v>0.89007632213354504</v>
      </c>
      <c r="AC63" s="360">
        <f t="shared" si="59"/>
        <v>4.7534151553366702E-3</v>
      </c>
      <c r="AD63" s="360">
        <f t="shared" si="60"/>
        <v>0.16876371701483261</v>
      </c>
      <c r="AE63" s="360">
        <f t="shared" si="61"/>
        <v>0.63444464999999983</v>
      </c>
      <c r="AF63" s="360">
        <f t="shared" si="62"/>
        <v>0</v>
      </c>
      <c r="AG63" s="360">
        <f t="shared" si="63"/>
        <v>0.80873062865553635</v>
      </c>
      <c r="AH63" s="360">
        <f t="shared" si="64"/>
        <v>2.0482927966328992</v>
      </c>
      <c r="AI63" s="360">
        <f t="shared" si="65"/>
        <v>1.048875845184556E-2</v>
      </c>
      <c r="AJ63" s="360">
        <f t="shared" si="66"/>
        <v>8.8905600000000001E-2</v>
      </c>
      <c r="AK63" s="360">
        <f t="shared" si="67"/>
        <v>9.9553075051763737E-2</v>
      </c>
      <c r="AL63" s="360">
        <f t="shared" si="68"/>
        <v>8.8905600000000001E-2</v>
      </c>
      <c r="AM63" s="360">
        <f t="shared" si="69"/>
        <v>1.4288400000000001</v>
      </c>
      <c r="AN63" s="360">
        <f t="shared" si="70"/>
        <v>4.9877392399610025E-2</v>
      </c>
      <c r="AO63" s="360">
        <f t="shared" si="71"/>
        <v>7.3499999999999998E-4</v>
      </c>
      <c r="AP63" s="360">
        <f t="shared" si="72"/>
        <v>0.34650000000000003</v>
      </c>
      <c r="AQ63" s="360">
        <f t="shared" si="26"/>
        <v>1.3167</v>
      </c>
      <c r="AR63" s="360">
        <f t="shared" si="73"/>
        <v>1.1088</v>
      </c>
      <c r="AS63" s="360">
        <f t="shared" si="74"/>
        <v>0.34723500000000002</v>
      </c>
      <c r="AT63" s="360">
        <f t="shared" si="75"/>
        <v>3.1500406503133322</v>
      </c>
      <c r="AU63">
        <f t="shared" si="76"/>
        <v>7.1280000000000001</v>
      </c>
      <c r="AV63" s="542">
        <f t="shared" si="47"/>
        <v>0.69351739718821781</v>
      </c>
      <c r="AW63" s="551">
        <f t="shared" si="77"/>
        <v>87.588251432776815</v>
      </c>
      <c r="AX63" s="551">
        <f t="shared" si="78"/>
        <v>21.700670451967024</v>
      </c>
      <c r="AY63" s="9"/>
      <c r="AZ63" s="4">
        <f t="shared" si="48"/>
        <v>69.351739718821776</v>
      </c>
      <c r="BA63" s="360">
        <f t="shared" si="79"/>
        <v>0.32558827596785145</v>
      </c>
      <c r="BB63" s="360">
        <f t="shared" si="80"/>
        <v>2.3371237037073</v>
      </c>
      <c r="BC63" s="360">
        <f t="shared" si="81"/>
        <v>1.7517650286555364</v>
      </c>
      <c r="BD63" s="360">
        <f t="shared" si="82"/>
        <v>0.57107027505176378</v>
      </c>
      <c r="BE63" s="360">
        <f t="shared" si="83"/>
        <v>4.9877392399610025E-2</v>
      </c>
      <c r="BK63" s="18"/>
      <c r="BL63" s="19"/>
    </row>
    <row r="64" spans="1:64" x14ac:dyDescent="0.2">
      <c r="A64" s="75"/>
      <c r="B64" s="30"/>
      <c r="G64">
        <v>55</v>
      </c>
      <c r="H64" s="548">
        <f t="shared" si="49"/>
        <v>21</v>
      </c>
      <c r="I64" s="4">
        <f t="shared" si="50"/>
        <v>1</v>
      </c>
      <c r="J64" s="360">
        <f t="shared" si="84"/>
        <v>2.2000000000000002</v>
      </c>
      <c r="K64" s="360">
        <f t="shared" si="51"/>
        <v>2.2000000000000002</v>
      </c>
      <c r="L64" s="4">
        <f t="shared" si="52"/>
        <v>0.38412698412698409</v>
      </c>
      <c r="M64" s="360">
        <f t="shared" si="53"/>
        <v>0.15886800892725431</v>
      </c>
      <c r="N64" s="4">
        <f t="shared" si="54"/>
        <v>1.9664699945352668</v>
      </c>
      <c r="O64" s="4">
        <f t="shared" si="39"/>
        <v>3.1832349972676335</v>
      </c>
      <c r="P64" s="4">
        <f t="shared" si="40"/>
        <v>1.2167650027323669</v>
      </c>
      <c r="Q64" s="4">
        <f t="shared" si="55"/>
        <v>0</v>
      </c>
      <c r="R64" s="4">
        <f t="shared" si="41"/>
        <v>2.2720586157236262</v>
      </c>
      <c r="S64" s="360">
        <f t="shared" si="56"/>
        <v>2.5811251766419803E-2</v>
      </c>
      <c r="T64" s="360">
        <f t="shared" si="57"/>
        <v>0.3</v>
      </c>
      <c r="U64" s="360">
        <f t="shared" si="58"/>
        <v>0.32648541153884314</v>
      </c>
      <c r="V64" s="4">
        <f t="shared" si="42"/>
        <v>0.56767099034912916</v>
      </c>
      <c r="W64" s="360">
        <f t="shared" si="10"/>
        <v>6.4450070656792212E-4</v>
      </c>
      <c r="X64" s="360">
        <f t="shared" si="43"/>
        <v>6.4450070656792212E-4</v>
      </c>
      <c r="Y64" s="4">
        <f t="shared" si="44"/>
        <v>0.83055774637280322</v>
      </c>
      <c r="Z64" s="360">
        <f t="shared" si="11"/>
        <v>6.8982617005986966E-4</v>
      </c>
      <c r="AA64" s="541">
        <f t="shared" si="45"/>
        <v>6.8982617005986966E-4</v>
      </c>
      <c r="AB64" s="360">
        <f t="shared" si="46"/>
        <v>0.90560280212145872</v>
      </c>
      <c r="AC64" s="360">
        <f t="shared" si="59"/>
        <v>4.920698611261428E-3</v>
      </c>
      <c r="AD64" s="360">
        <f t="shared" si="60"/>
        <v>0.17188897103362583</v>
      </c>
      <c r="AE64" s="360">
        <f t="shared" si="61"/>
        <v>0.63444464999999983</v>
      </c>
      <c r="AF64" s="360">
        <f t="shared" si="62"/>
        <v>0</v>
      </c>
      <c r="AG64" s="360">
        <f t="shared" si="63"/>
        <v>0.81205349374467495</v>
      </c>
      <c r="AH64" s="360">
        <f t="shared" si="64"/>
        <v>2.0837787593873114</v>
      </c>
      <c r="AI64" s="360">
        <f t="shared" si="65"/>
        <v>1.0855334795184307E-2</v>
      </c>
      <c r="AJ64" s="360">
        <f t="shared" si="66"/>
        <v>9.0551999999999994E-2</v>
      </c>
      <c r="AK64" s="360">
        <f t="shared" si="67"/>
        <v>0.10157493454321666</v>
      </c>
      <c r="AL64" s="360">
        <f t="shared" si="68"/>
        <v>9.0551999999999994E-2</v>
      </c>
      <c r="AM64" s="360">
        <f t="shared" si="69"/>
        <v>1.4553</v>
      </c>
      <c r="AN64" s="360">
        <f t="shared" si="70"/>
        <v>5.1622503532839606E-2</v>
      </c>
      <c r="AO64" s="360">
        <f t="shared" si="71"/>
        <v>7.3499999999999998E-4</v>
      </c>
      <c r="AP64" s="360">
        <f t="shared" si="72"/>
        <v>0.34650000000000003</v>
      </c>
      <c r="AQ64" s="360">
        <f t="shared" si="26"/>
        <v>1.3167</v>
      </c>
      <c r="AR64" s="360">
        <f t="shared" si="73"/>
        <v>1.1088</v>
      </c>
      <c r="AS64" s="360">
        <f t="shared" si="74"/>
        <v>0.34723500000000002</v>
      </c>
      <c r="AT64" s="360">
        <f t="shared" si="75"/>
        <v>3.1861576702362018</v>
      </c>
      <c r="AU64">
        <f t="shared" si="76"/>
        <v>7.26</v>
      </c>
      <c r="AV64" s="542">
        <f t="shared" si="47"/>
        <v>0.69499238180997525</v>
      </c>
      <c r="AW64" s="551">
        <f t="shared" si="77"/>
        <v>88.627574687233746</v>
      </c>
      <c r="AX64" s="551">
        <f t="shared" si="78"/>
        <v>22.109309512642234</v>
      </c>
      <c r="AY64" s="9"/>
      <c r="AZ64" s="4">
        <f t="shared" si="48"/>
        <v>69.499238180997523</v>
      </c>
      <c r="BA64" s="360">
        <f t="shared" si="79"/>
        <v>0.32648541153884314</v>
      </c>
      <c r="BB64" s="360">
        <f t="shared" si="80"/>
        <v>2.3689284282878917</v>
      </c>
      <c r="BC64" s="360">
        <f t="shared" si="81"/>
        <v>1.7725514937446749</v>
      </c>
      <c r="BD64" s="360">
        <f t="shared" si="82"/>
        <v>0.58182393454321668</v>
      </c>
      <c r="BE64" s="360">
        <f t="shared" si="83"/>
        <v>5.1622503532839606E-2</v>
      </c>
      <c r="BK64" s="18"/>
      <c r="BL64" s="19"/>
    </row>
    <row r="65" spans="1:64" x14ac:dyDescent="0.2">
      <c r="G65">
        <v>56</v>
      </c>
      <c r="H65" s="548">
        <f t="shared" si="49"/>
        <v>21</v>
      </c>
      <c r="I65" s="4">
        <f t="shared" si="50"/>
        <v>1</v>
      </c>
      <c r="J65" s="360">
        <f t="shared" si="84"/>
        <v>2.2400000000000002</v>
      </c>
      <c r="K65" s="360">
        <f t="shared" si="51"/>
        <v>2.2400000000000002</v>
      </c>
      <c r="L65" s="4">
        <f t="shared" si="52"/>
        <v>0.39111111111111108</v>
      </c>
      <c r="M65" s="360">
        <f t="shared" si="53"/>
        <v>0.15889935359103402</v>
      </c>
      <c r="N65" s="4">
        <f t="shared" si="54"/>
        <v>1.9668090185495928</v>
      </c>
      <c r="O65" s="4">
        <f t="shared" si="39"/>
        <v>3.2234045092747965</v>
      </c>
      <c r="P65" s="4">
        <f t="shared" si="40"/>
        <v>1.2565954907252039</v>
      </c>
      <c r="Q65" s="4">
        <f t="shared" si="55"/>
        <v>0</v>
      </c>
      <c r="R65" s="4">
        <f t="shared" si="41"/>
        <v>2.310835666222792</v>
      </c>
      <c r="S65" s="360">
        <f t="shared" si="56"/>
        <v>2.6699807381436673E-2</v>
      </c>
      <c r="T65" s="360">
        <f t="shared" si="57"/>
        <v>0.3</v>
      </c>
      <c r="U65" s="360">
        <f t="shared" si="58"/>
        <v>0.32739912687138195</v>
      </c>
      <c r="V65" s="4">
        <f t="shared" si="42"/>
        <v>0.56776885815209555</v>
      </c>
      <c r="W65" s="360">
        <f t="shared" si="10"/>
        <v>6.447229525746688E-4</v>
      </c>
      <c r="X65" s="360">
        <f t="shared" si="43"/>
        <v>6.447229525746688E-4</v>
      </c>
      <c r="Y65" s="4">
        <f t="shared" si="44"/>
        <v>0.84480039953581687</v>
      </c>
      <c r="Z65" s="360">
        <f t="shared" si="11"/>
        <v>7.136877150558758E-4</v>
      </c>
      <c r="AA65" s="541">
        <f t="shared" si="45"/>
        <v>7.136877150558758E-4</v>
      </c>
      <c r="AB65" s="360">
        <f t="shared" si="46"/>
        <v>0.92114951380494214</v>
      </c>
      <c r="AC65" s="360">
        <f t="shared" si="59"/>
        <v>5.0910985606984873E-3</v>
      </c>
      <c r="AD65" s="360">
        <f t="shared" si="60"/>
        <v>0.17501422505241904</v>
      </c>
      <c r="AE65" s="360">
        <f t="shared" si="61"/>
        <v>0.63444464999999983</v>
      </c>
      <c r="AF65" s="360">
        <f t="shared" si="62"/>
        <v>0</v>
      </c>
      <c r="AG65" s="360">
        <f t="shared" si="63"/>
        <v>0.81538020981564019</v>
      </c>
      <c r="AH65" s="360">
        <f t="shared" si="64"/>
        <v>2.1193029631235487</v>
      </c>
      <c r="AI65" s="360">
        <f t="shared" si="65"/>
        <v>1.1228612623760634E-2</v>
      </c>
      <c r="AJ65" s="360">
        <f t="shared" si="66"/>
        <v>9.21984E-2</v>
      </c>
      <c r="AK65" s="360">
        <f t="shared" si="67"/>
        <v>0.1036038383836274</v>
      </c>
      <c r="AL65" s="360">
        <f t="shared" si="68"/>
        <v>9.21984E-2</v>
      </c>
      <c r="AM65" s="360">
        <f t="shared" si="69"/>
        <v>1.4817600000000002</v>
      </c>
      <c r="AN65" s="360">
        <f t="shared" si="70"/>
        <v>5.3399614762873346E-2</v>
      </c>
      <c r="AO65" s="360">
        <f t="shared" si="71"/>
        <v>7.3499999999999998E-4</v>
      </c>
      <c r="AP65" s="360">
        <f t="shared" si="72"/>
        <v>0.34650000000000003</v>
      </c>
      <c r="AQ65" s="360">
        <f t="shared" si="26"/>
        <v>1.3167</v>
      </c>
      <c r="AR65" s="360">
        <f t="shared" si="73"/>
        <v>1.1088</v>
      </c>
      <c r="AS65" s="360">
        <f t="shared" si="74"/>
        <v>0.34723500000000002</v>
      </c>
      <c r="AT65" s="360">
        <f t="shared" si="75"/>
        <v>3.2223346005011533</v>
      </c>
      <c r="AU65">
        <f t="shared" si="76"/>
        <v>7.3920000000000003</v>
      </c>
      <c r="AV65" s="542">
        <f t="shared" si="47"/>
        <v>0.69641671175986752</v>
      </c>
      <c r="AW65" s="551">
        <f t="shared" si="77"/>
        <v>89.667090490782016</v>
      </c>
      <c r="AX65" s="551">
        <f t="shared" si="78"/>
        <v>22.518216258577844</v>
      </c>
      <c r="AY65" s="9"/>
      <c r="AZ65" s="4">
        <f t="shared" si="48"/>
        <v>69.641671175986758</v>
      </c>
      <c r="BA65" s="360">
        <f t="shared" si="79"/>
        <v>0.32739912687138195</v>
      </c>
      <c r="BB65" s="360">
        <f t="shared" si="80"/>
        <v>2.4007440481992677</v>
      </c>
      <c r="BC65" s="360">
        <f t="shared" si="81"/>
        <v>1.7933418098156404</v>
      </c>
      <c r="BD65" s="360">
        <f t="shared" si="82"/>
        <v>0.59258463838362752</v>
      </c>
      <c r="BE65" s="360">
        <f t="shared" si="83"/>
        <v>5.3399614762873346E-2</v>
      </c>
      <c r="BK65" s="18"/>
      <c r="BL65" s="19"/>
    </row>
    <row r="66" spans="1:64" x14ac:dyDescent="0.2">
      <c r="A66" s="11" t="s">
        <v>77</v>
      </c>
      <c r="B66" s="31"/>
      <c r="C66" s="31"/>
      <c r="G66">
        <v>57</v>
      </c>
      <c r="H66" s="548">
        <f t="shared" si="49"/>
        <v>21</v>
      </c>
      <c r="I66" s="4">
        <f t="shared" si="50"/>
        <v>1</v>
      </c>
      <c r="J66" s="360">
        <f t="shared" si="84"/>
        <v>2.2799999999999998</v>
      </c>
      <c r="K66" s="360">
        <f t="shared" si="51"/>
        <v>2.2799999999999998</v>
      </c>
      <c r="L66" s="4">
        <f t="shared" si="52"/>
        <v>0.398095238095238</v>
      </c>
      <c r="M66" s="360">
        <f t="shared" si="53"/>
        <v>0.15893069747920752</v>
      </c>
      <c r="N66" s="4">
        <f t="shared" si="54"/>
        <v>1.9671480136478952</v>
      </c>
      <c r="O66" s="4">
        <f t="shared" si="39"/>
        <v>3.2635740068239474</v>
      </c>
      <c r="P66" s="4">
        <f t="shared" si="40"/>
        <v>1.2964259931760522</v>
      </c>
      <c r="Q66" s="4">
        <f t="shared" si="55"/>
        <v>0</v>
      </c>
      <c r="R66" s="4">
        <f t="shared" si="41"/>
        <v>2.3496537210760593</v>
      </c>
      <c r="S66" s="360">
        <f t="shared" si="56"/>
        <v>2.7604363044832859E-2</v>
      </c>
      <c r="T66" s="360">
        <f t="shared" si="57"/>
        <v>0.3</v>
      </c>
      <c r="U66" s="360">
        <f t="shared" si="58"/>
        <v>0.32832942902540246</v>
      </c>
      <c r="V66" s="4">
        <f t="shared" si="42"/>
        <v>0.567866717607725</v>
      </c>
      <c r="W66" s="360">
        <f t="shared" si="10"/>
        <v>6.4494521793314339E-4</v>
      </c>
      <c r="X66" s="360">
        <f t="shared" si="43"/>
        <v>6.4494521793314339E-4</v>
      </c>
      <c r="Y66" s="4">
        <f t="shared" si="44"/>
        <v>0.8590602991626326</v>
      </c>
      <c r="Z66" s="360">
        <f t="shared" si="11"/>
        <v>7.3798459759739194E-4</v>
      </c>
      <c r="AA66" s="541">
        <f t="shared" si="45"/>
        <v>7.3798459759739194E-4</v>
      </c>
      <c r="AB66" s="360">
        <f t="shared" si="46"/>
        <v>0.93671561022378047</v>
      </c>
      <c r="AC66" s="360">
        <f t="shared" si="59"/>
        <v>5.264616806621456E-3</v>
      </c>
      <c r="AD66" s="360">
        <f t="shared" si="60"/>
        <v>0.17813947907121219</v>
      </c>
      <c r="AE66" s="360">
        <f t="shared" si="61"/>
        <v>0.63444464999999983</v>
      </c>
      <c r="AF66" s="360">
        <f t="shared" si="62"/>
        <v>0</v>
      </c>
      <c r="AG66" s="360">
        <f t="shared" si="63"/>
        <v>0.81871078559014954</v>
      </c>
      <c r="AH66" s="360">
        <f t="shared" si="64"/>
        <v>2.1548634468405794</v>
      </c>
      <c r="AI66" s="360">
        <f t="shared" si="65"/>
        <v>1.1608591186324155E-2</v>
      </c>
      <c r="AJ66" s="360">
        <f t="shared" si="66"/>
        <v>9.3844799999999978E-2</v>
      </c>
      <c r="AK66" s="360">
        <f t="shared" si="67"/>
        <v>0.10563979322054491</v>
      </c>
      <c r="AL66" s="360">
        <f t="shared" si="68"/>
        <v>9.3844799999999978E-2</v>
      </c>
      <c r="AM66" s="360">
        <f t="shared" si="69"/>
        <v>1.5082199999999999</v>
      </c>
      <c r="AN66" s="360">
        <f t="shared" si="70"/>
        <v>5.5208726089665719E-2</v>
      </c>
      <c r="AO66" s="360">
        <f t="shared" si="71"/>
        <v>7.3499999999999998E-4</v>
      </c>
      <c r="AP66" s="360">
        <f t="shared" si="72"/>
        <v>0.34650000000000003</v>
      </c>
      <c r="AQ66" s="360">
        <f t="shared" si="26"/>
        <v>1.3167</v>
      </c>
      <c r="AR66" s="360">
        <f t="shared" si="73"/>
        <v>1.1088</v>
      </c>
      <c r="AS66" s="360">
        <f t="shared" si="74"/>
        <v>0.34723500000000002</v>
      </c>
      <c r="AT66" s="360">
        <f t="shared" si="75"/>
        <v>3.2585714637412928</v>
      </c>
      <c r="AU66">
        <f t="shared" si="76"/>
        <v>7.5239999999999991</v>
      </c>
      <c r="AV66" s="542">
        <f t="shared" si="47"/>
        <v>0.69779273203067216</v>
      </c>
      <c r="AW66" s="551">
        <f t="shared" si="77"/>
        <v>90.706799279507479</v>
      </c>
      <c r="AX66" s="551">
        <f t="shared" si="78"/>
        <v>22.927390942380708</v>
      </c>
      <c r="AY66" s="9"/>
      <c r="AZ66" s="4">
        <f t="shared" si="48"/>
        <v>69.77927320306722</v>
      </c>
      <c r="BA66" s="360">
        <f t="shared" si="79"/>
        <v>0.32832942902540246</v>
      </c>
      <c r="BB66" s="360">
        <f t="shared" si="80"/>
        <v>2.4325705788106946</v>
      </c>
      <c r="BC66" s="360">
        <f t="shared" si="81"/>
        <v>1.8141359855901495</v>
      </c>
      <c r="BD66" s="360">
        <f t="shared" si="82"/>
        <v>0.6033523932205449</v>
      </c>
      <c r="BE66" s="360">
        <f t="shared" si="83"/>
        <v>5.5208726089665719E-2</v>
      </c>
      <c r="BK66" s="18"/>
      <c r="BL66" s="19"/>
    </row>
    <row r="67" spans="1:64" x14ac:dyDescent="0.2">
      <c r="A67" s="14" t="s">
        <v>55</v>
      </c>
      <c r="B67" s="15" t="s">
        <v>7</v>
      </c>
      <c r="C67" s="15" t="s">
        <v>76</v>
      </c>
      <c r="G67">
        <v>58</v>
      </c>
      <c r="H67" s="548">
        <f t="shared" si="49"/>
        <v>21</v>
      </c>
      <c r="I67" s="4">
        <f t="shared" si="50"/>
        <v>1</v>
      </c>
      <c r="J67" s="360">
        <f t="shared" si="84"/>
        <v>2.3199999999999998</v>
      </c>
      <c r="K67" s="360">
        <f t="shared" si="51"/>
        <v>2.3199999999999998</v>
      </c>
      <c r="L67" s="4">
        <f t="shared" si="52"/>
        <v>0.40507936507936498</v>
      </c>
      <c r="M67" s="360">
        <f t="shared" si="53"/>
        <v>0.15896204059180358</v>
      </c>
      <c r="N67" s="4">
        <f t="shared" si="54"/>
        <v>1.9674869798312464</v>
      </c>
      <c r="O67" s="4">
        <f t="shared" si="39"/>
        <v>3.3037434899156231</v>
      </c>
      <c r="P67" s="4">
        <f t="shared" si="40"/>
        <v>1.3362565100843766</v>
      </c>
      <c r="Q67" s="4">
        <f t="shared" si="55"/>
        <v>0</v>
      </c>
      <c r="R67" s="4">
        <f t="shared" si="41"/>
        <v>2.3885107810761754</v>
      </c>
      <c r="S67" s="360">
        <f t="shared" si="56"/>
        <v>2.852491875658561E-2</v>
      </c>
      <c r="T67" s="360">
        <f t="shared" si="57"/>
        <v>0.3</v>
      </c>
      <c r="U67" s="360">
        <f t="shared" si="58"/>
        <v>0.32927632519054784</v>
      </c>
      <c r="V67" s="4">
        <f t="shared" si="42"/>
        <v>0.56796456871632695</v>
      </c>
      <c r="W67" s="360">
        <f t="shared" si="10"/>
        <v>6.4516750263424649E-4</v>
      </c>
      <c r="X67" s="360">
        <f t="shared" si="43"/>
        <v>6.4516750263424649E-4</v>
      </c>
      <c r="Y67" s="4">
        <f t="shared" si="44"/>
        <v>0.87333671719309636</v>
      </c>
      <c r="Z67" s="360">
        <f t="shared" si="11"/>
        <v>7.6271702159761432E-4</v>
      </c>
      <c r="AA67" s="541">
        <f t="shared" si="45"/>
        <v>7.6271702159761432E-4</v>
      </c>
      <c r="AB67" s="360">
        <f t="shared" si="46"/>
        <v>0.95230029856786891</v>
      </c>
      <c r="AC67" s="360">
        <f t="shared" si="59"/>
        <v>5.4412551519147133E-3</v>
      </c>
      <c r="AD67" s="360">
        <f t="shared" si="60"/>
        <v>0.1812647330900054</v>
      </c>
      <c r="AE67" s="360">
        <f t="shared" si="61"/>
        <v>0.63444464999999983</v>
      </c>
      <c r="AF67" s="360">
        <f t="shared" si="62"/>
        <v>0</v>
      </c>
      <c r="AG67" s="360">
        <f t="shared" si="63"/>
        <v>0.82204522981028239</v>
      </c>
      <c r="AH67" s="360">
        <f t="shared" si="64"/>
        <v>2.1904583750130175</v>
      </c>
      <c r="AI67" s="360">
        <f t="shared" si="65"/>
        <v>1.1995269731661673E-2</v>
      </c>
      <c r="AJ67" s="360">
        <f t="shared" si="66"/>
        <v>9.5491199999999984E-2</v>
      </c>
      <c r="AK67" s="360">
        <f t="shared" si="67"/>
        <v>0.10768280574531901</v>
      </c>
      <c r="AL67" s="360">
        <f t="shared" si="68"/>
        <v>9.5491199999999984E-2</v>
      </c>
      <c r="AM67" s="360">
        <f t="shared" si="69"/>
        <v>1.5346799999999998</v>
      </c>
      <c r="AN67" s="360">
        <f t="shared" si="70"/>
        <v>5.704983751317122E-2</v>
      </c>
      <c r="AO67" s="360">
        <f t="shared" si="71"/>
        <v>7.3499999999999998E-4</v>
      </c>
      <c r="AP67" s="360">
        <f t="shared" si="72"/>
        <v>0.34650000000000003</v>
      </c>
      <c r="AQ67" s="360">
        <f t="shared" si="26"/>
        <v>1.3167</v>
      </c>
      <c r="AR67" s="360">
        <f t="shared" si="73"/>
        <v>1.1088</v>
      </c>
      <c r="AS67" s="360">
        <f t="shared" si="74"/>
        <v>0.34723500000000002</v>
      </c>
      <c r="AT67" s="360">
        <f t="shared" si="75"/>
        <v>3.2948682827835523</v>
      </c>
      <c r="AU67">
        <f t="shared" si="76"/>
        <v>7.6559999999999988</v>
      </c>
      <c r="AV67" s="542">
        <f t="shared" si="47"/>
        <v>0.69912264509987831</v>
      </c>
      <c r="AW67" s="551">
        <f t="shared" si="77"/>
        <v>91.746701490514113</v>
      </c>
      <c r="AX67" s="551">
        <f t="shared" si="78"/>
        <v>23.33683381832212</v>
      </c>
      <c r="AY67" s="9"/>
      <c r="AZ67" s="4">
        <f t="shared" si="48"/>
        <v>69.912264509987835</v>
      </c>
      <c r="BA67" s="360">
        <f t="shared" si="79"/>
        <v>0.32927632519054784</v>
      </c>
      <c r="BB67" s="360">
        <f t="shared" si="80"/>
        <v>2.4644080355556013</v>
      </c>
      <c r="BC67" s="360">
        <f t="shared" si="81"/>
        <v>1.8349340298102823</v>
      </c>
      <c r="BD67" s="360">
        <f t="shared" si="82"/>
        <v>0.61412720574531898</v>
      </c>
      <c r="BE67" s="360">
        <f t="shared" si="83"/>
        <v>5.704983751317122E-2</v>
      </c>
      <c r="BK67" s="18"/>
      <c r="BL67" s="19"/>
    </row>
    <row r="68" spans="1:64" x14ac:dyDescent="0.2">
      <c r="A68" s="32" t="s">
        <v>208</v>
      </c>
      <c r="B68" s="449">
        <f>D1_Vinmin</f>
        <v>0.16499999999999998</v>
      </c>
      <c r="C68" s="21" t="s">
        <v>18</v>
      </c>
      <c r="G68">
        <v>59</v>
      </c>
      <c r="H68" s="548">
        <f t="shared" si="49"/>
        <v>21</v>
      </c>
      <c r="I68" s="4">
        <f t="shared" si="50"/>
        <v>1</v>
      </c>
      <c r="J68" s="360">
        <f t="shared" si="84"/>
        <v>2.36</v>
      </c>
      <c r="K68" s="360">
        <f t="shared" si="51"/>
        <v>2.36</v>
      </c>
      <c r="L68" s="4">
        <f t="shared" si="52"/>
        <v>0.41206349206349197</v>
      </c>
      <c r="M68" s="360">
        <f t="shared" si="53"/>
        <v>0.15899338292885104</v>
      </c>
      <c r="N68" s="4">
        <f t="shared" si="54"/>
        <v>1.9678259171007213</v>
      </c>
      <c r="O68" s="4">
        <f t="shared" si="39"/>
        <v>3.3439129585503604</v>
      </c>
      <c r="P68" s="4">
        <f t="shared" si="40"/>
        <v>1.3760870414496393</v>
      </c>
      <c r="Q68" s="4">
        <f t="shared" si="55"/>
        <v>0</v>
      </c>
      <c r="R68" s="4">
        <f t="shared" si="41"/>
        <v>2.4274049730801908</v>
      </c>
      <c r="S68" s="360">
        <f t="shared" si="56"/>
        <v>2.946147451667221E-2</v>
      </c>
      <c r="T68" s="360">
        <f t="shared" si="57"/>
        <v>0.3</v>
      </c>
      <c r="U68" s="360">
        <f t="shared" si="58"/>
        <v>0.33023982268630919</v>
      </c>
      <c r="V68" s="4">
        <f t="shared" si="42"/>
        <v>0.5680624114782119</v>
      </c>
      <c r="W68" s="360">
        <f t="shared" si="10"/>
        <v>6.4538980666888274E-4</v>
      </c>
      <c r="X68" s="360">
        <f t="shared" si="43"/>
        <v>6.4538980666888274E-4</v>
      </c>
      <c r="Y68" s="4">
        <f t="shared" si="44"/>
        <v>0.88762897143005592</v>
      </c>
      <c r="Z68" s="360">
        <f t="shared" si="11"/>
        <v>7.8788519092197907E-4</v>
      </c>
      <c r="AA68" s="541">
        <f t="shared" si="45"/>
        <v>7.8788519092197907E-4</v>
      </c>
      <c r="AB68" s="360">
        <f t="shared" si="46"/>
        <v>0.96790283597867932</v>
      </c>
      <c r="AC68" s="360">
        <f t="shared" si="59"/>
        <v>5.6210153993734215E-3</v>
      </c>
      <c r="AD68" s="360">
        <f t="shared" si="60"/>
        <v>0.18438998710879859</v>
      </c>
      <c r="AE68" s="360">
        <f t="shared" si="61"/>
        <v>0.63444464999999983</v>
      </c>
      <c r="AF68" s="360">
        <f t="shared" si="62"/>
        <v>0</v>
      </c>
      <c r="AG68" s="360">
        <f t="shared" si="63"/>
        <v>0.82538355123855223</v>
      </c>
      <c r="AH68" s="360">
        <f t="shared" si="64"/>
        <v>2.2260860278612036</v>
      </c>
      <c r="AI68" s="360">
        <f t="shared" si="65"/>
        <v>1.2388647508597177E-2</v>
      </c>
      <c r="AJ68" s="360">
        <f t="shared" si="66"/>
        <v>9.7137599999999977E-2</v>
      </c>
      <c r="AK68" s="360">
        <f t="shared" si="67"/>
        <v>0.10973288269317293</v>
      </c>
      <c r="AL68" s="360">
        <f t="shared" si="68"/>
        <v>9.7137599999999977E-2</v>
      </c>
      <c r="AM68" s="360">
        <f t="shared" si="69"/>
        <v>1.5611399999999998</v>
      </c>
      <c r="AN68" s="360">
        <f t="shared" si="70"/>
        <v>5.892294903334442E-2</v>
      </c>
      <c r="AO68" s="360">
        <f t="shared" si="71"/>
        <v>7.3499999999999998E-4</v>
      </c>
      <c r="AP68" s="360">
        <f t="shared" si="72"/>
        <v>0.34650000000000003</v>
      </c>
      <c r="AQ68" s="360">
        <f t="shared" si="26"/>
        <v>1.3167</v>
      </c>
      <c r="AR68" s="360">
        <f t="shared" si="73"/>
        <v>1.1088</v>
      </c>
      <c r="AS68" s="360">
        <f t="shared" si="74"/>
        <v>0.34723500000000002</v>
      </c>
      <c r="AT68" s="360">
        <f t="shared" si="75"/>
        <v>3.3312250806489692</v>
      </c>
      <c r="AU68">
        <f t="shared" si="76"/>
        <v>7.7879999999999994</v>
      </c>
      <c r="AV68" s="542">
        <f t="shared" si="47"/>
        <v>0.70040852159325628</v>
      </c>
      <c r="AW68" s="551">
        <f t="shared" si="77"/>
        <v>92.7867975619276</v>
      </c>
      <c r="AX68" s="551">
        <f t="shared" si="78"/>
        <v>23.746545142340572</v>
      </c>
      <c r="AY68" s="9"/>
      <c r="AZ68" s="4">
        <f t="shared" si="48"/>
        <v>70.040852159325624</v>
      </c>
      <c r="BA68" s="360">
        <f t="shared" si="79"/>
        <v>0.33023982268630919</v>
      </c>
      <c r="BB68" s="360">
        <f t="shared" si="80"/>
        <v>2.496256433931725</v>
      </c>
      <c r="BC68" s="360">
        <f t="shared" si="81"/>
        <v>1.8557359512385521</v>
      </c>
      <c r="BD68" s="360">
        <f t="shared" si="82"/>
        <v>0.62490908269317291</v>
      </c>
      <c r="BE68" s="360">
        <f t="shared" si="83"/>
        <v>5.892294903334442E-2</v>
      </c>
      <c r="BK68" s="18"/>
      <c r="BL68" s="19"/>
    </row>
    <row r="69" spans="1:64" x14ac:dyDescent="0.2">
      <c r="A69" s="23" t="s">
        <v>78</v>
      </c>
      <c r="B69" s="449">
        <f>1-B68</f>
        <v>0.83499999999999996</v>
      </c>
      <c r="C69" s="21" t="s">
        <v>18</v>
      </c>
      <c r="G69">
        <v>60</v>
      </c>
      <c r="H69" s="548">
        <f t="shared" si="49"/>
        <v>21</v>
      </c>
      <c r="I69" s="4">
        <f t="shared" si="50"/>
        <v>1</v>
      </c>
      <c r="J69" s="360">
        <f t="shared" si="84"/>
        <v>2.4</v>
      </c>
      <c r="K69" s="360">
        <f t="shared" si="51"/>
        <v>2.4</v>
      </c>
      <c r="L69" s="4">
        <f t="shared" si="52"/>
        <v>0.41904761904761895</v>
      </c>
      <c r="M69" s="360">
        <f t="shared" si="53"/>
        <v>0.15902472449037858</v>
      </c>
      <c r="N69" s="4">
        <f t="shared" si="54"/>
        <v>1.9681648254573911</v>
      </c>
      <c r="O69" s="4">
        <f t="shared" si="39"/>
        <v>3.3840824127286955</v>
      </c>
      <c r="P69" s="4">
        <f t="shared" si="40"/>
        <v>1.4159175872713043</v>
      </c>
      <c r="Q69" s="4">
        <f t="shared" si="55"/>
        <v>0</v>
      </c>
      <c r="R69" s="4">
        <f t="shared" si="41"/>
        <v>2.4663345403683534</v>
      </c>
      <c r="S69" s="360">
        <f t="shared" si="56"/>
        <v>3.0414030325069886E-2</v>
      </c>
      <c r="T69" s="360">
        <f t="shared" si="57"/>
        <v>0.3</v>
      </c>
      <c r="U69" s="360">
        <f t="shared" si="58"/>
        <v>0.33121992896216773</v>
      </c>
      <c r="V69" s="4">
        <f t="shared" si="42"/>
        <v>0.56816024589368885</v>
      </c>
      <c r="W69" s="360">
        <f t="shared" si="10"/>
        <v>6.4561213002795395E-4</v>
      </c>
      <c r="X69" s="360">
        <f t="shared" si="43"/>
        <v>6.4561213002795395E-4</v>
      </c>
      <c r="Y69" s="4">
        <f t="shared" si="44"/>
        <v>0.90193642203215296</v>
      </c>
      <c r="Z69" s="360">
        <f t="shared" si="11"/>
        <v>8.1348930938816193E-4</v>
      </c>
      <c r="AA69" s="541">
        <f t="shared" si="45"/>
        <v>8.1348930938816193E-4</v>
      </c>
      <c r="AB69" s="360">
        <f t="shared" si="46"/>
        <v>0.98352252572945764</v>
      </c>
      <c r="AC69" s="360">
        <f t="shared" si="59"/>
        <v>5.8038993517035096E-3</v>
      </c>
      <c r="AD69" s="360">
        <f t="shared" si="60"/>
        <v>0.1875152411275918</v>
      </c>
      <c r="AE69" s="360">
        <f t="shared" si="61"/>
        <v>0.63444464999999983</v>
      </c>
      <c r="AF69" s="360">
        <f t="shared" si="62"/>
        <v>0</v>
      </c>
      <c r="AG69" s="360">
        <f t="shared" si="63"/>
        <v>0.82872575865797815</v>
      </c>
      <c r="AH69" s="360">
        <f t="shared" si="64"/>
        <v>2.2617447924990843</v>
      </c>
      <c r="AI69" s="360">
        <f t="shared" si="65"/>
        <v>1.2788723765991813E-2</v>
      </c>
      <c r="AJ69" s="360">
        <f t="shared" si="66"/>
        <v>9.8783999999999983E-2</v>
      </c>
      <c r="AK69" s="360">
        <f t="shared" si="67"/>
        <v>0.11179003084327725</v>
      </c>
      <c r="AL69" s="360">
        <f t="shared" si="68"/>
        <v>9.8783999999999983E-2</v>
      </c>
      <c r="AM69" s="360">
        <f t="shared" si="69"/>
        <v>1.5876000000000001</v>
      </c>
      <c r="AN69" s="360">
        <f t="shared" si="70"/>
        <v>6.0828060650139772E-2</v>
      </c>
      <c r="AO69" s="360">
        <f t="shared" si="71"/>
        <v>7.3499999999999998E-4</v>
      </c>
      <c r="AP69" s="360">
        <f t="shared" si="72"/>
        <v>0.34650000000000003</v>
      </c>
      <c r="AQ69" s="360">
        <f t="shared" si="26"/>
        <v>1.3167</v>
      </c>
      <c r="AR69" s="360">
        <f t="shared" si="73"/>
        <v>1.1088</v>
      </c>
      <c r="AS69" s="360">
        <f t="shared" si="74"/>
        <v>0.34723500000000002</v>
      </c>
      <c r="AT69" s="360">
        <f t="shared" si="75"/>
        <v>3.3676418805529793</v>
      </c>
      <c r="AU69">
        <f t="shared" si="76"/>
        <v>7.919999999999999</v>
      </c>
      <c r="AV69" s="542">
        <f t="shared" si="47"/>
        <v>0.70165231000507255</v>
      </c>
      <c r="AW69" s="551">
        <f t="shared" si="77"/>
        <v>93.827087932898905</v>
      </c>
      <c r="AX69" s="551">
        <f t="shared" si="78"/>
        <v>24.156525172044535</v>
      </c>
      <c r="AY69" s="9"/>
      <c r="AZ69" s="4">
        <f t="shared" si="48"/>
        <v>70.165231000507262</v>
      </c>
      <c r="BA69" s="360">
        <f t="shared" si="79"/>
        <v>0.33121992896216773</v>
      </c>
      <c r="BB69" s="360">
        <f t="shared" si="80"/>
        <v>2.5281157895012556</v>
      </c>
      <c r="BC69" s="360">
        <f t="shared" si="81"/>
        <v>1.8765417586579782</v>
      </c>
      <c r="BD69" s="360">
        <f t="shared" si="82"/>
        <v>0.63569803084327725</v>
      </c>
      <c r="BE69" s="360">
        <f t="shared" si="83"/>
        <v>6.0828060650139772E-2</v>
      </c>
      <c r="BK69" s="18"/>
      <c r="BL69" s="19"/>
    </row>
    <row r="70" spans="1:64" x14ac:dyDescent="0.2">
      <c r="A70" s="33" t="s">
        <v>209</v>
      </c>
      <c r="B70" s="449">
        <f>Iripple_Vinnom</f>
        <v>1.9794229478863785</v>
      </c>
      <c r="C70" s="21" t="s">
        <v>1</v>
      </c>
      <c r="G70">
        <v>61</v>
      </c>
      <c r="H70" s="548">
        <f t="shared" si="49"/>
        <v>21</v>
      </c>
      <c r="I70" s="4">
        <f t="shared" si="50"/>
        <v>1</v>
      </c>
      <c r="J70" s="360">
        <f t="shared" si="84"/>
        <v>2.44</v>
      </c>
      <c r="K70" s="360">
        <f t="shared" si="51"/>
        <v>2.44</v>
      </c>
      <c r="L70" s="4">
        <f t="shared" si="52"/>
        <v>0.42603174603174598</v>
      </c>
      <c r="M70" s="360">
        <f t="shared" si="53"/>
        <v>0.15905606527641503</v>
      </c>
      <c r="N70" s="4">
        <f t="shared" si="54"/>
        <v>1.9685037049023295</v>
      </c>
      <c r="O70" s="4">
        <f t="shared" si="39"/>
        <v>3.4242518524511647</v>
      </c>
      <c r="P70" s="4">
        <f t="shared" si="40"/>
        <v>1.4557481475488352</v>
      </c>
      <c r="Q70" s="4">
        <f t="shared" si="55"/>
        <v>0</v>
      </c>
      <c r="R70" s="4">
        <f t="shared" si="41"/>
        <v>2.5052978338615119</v>
      </c>
      <c r="S70" s="360">
        <f t="shared" si="56"/>
        <v>3.138258618175592E-2</v>
      </c>
      <c r="T70" s="360">
        <f t="shared" si="57"/>
        <v>0.3</v>
      </c>
      <c r="U70" s="360">
        <f t="shared" si="58"/>
        <v>0.33221665159773839</v>
      </c>
      <c r="V70" s="4">
        <f t="shared" si="42"/>
        <v>0.56825807196306788</v>
      </c>
      <c r="W70" s="360">
        <f t="shared" si="10"/>
        <v>6.4583447270236648E-4</v>
      </c>
      <c r="X70" s="360">
        <f t="shared" si="43"/>
        <v>6.4583447270236648E-4</v>
      </c>
      <c r="Y70" s="4">
        <f t="shared" si="44"/>
        <v>0.91625846831889612</v>
      </c>
      <c r="Z70" s="360">
        <f t="shared" si="11"/>
        <v>8.3952958076608951E-4</v>
      </c>
      <c r="AA70" s="541">
        <f t="shared" si="45"/>
        <v>8.3952958076608951E-4</v>
      </c>
      <c r="AB70" s="360">
        <f t="shared" si="46"/>
        <v>0.999158713745528</v>
      </c>
      <c r="AC70" s="360">
        <f t="shared" si="59"/>
        <v>5.9899088115217079E-3</v>
      </c>
      <c r="AD70" s="360">
        <f t="shared" si="60"/>
        <v>0.19064049514638501</v>
      </c>
      <c r="AE70" s="360">
        <f t="shared" si="61"/>
        <v>0.63444464999999983</v>
      </c>
      <c r="AF70" s="360">
        <f t="shared" si="62"/>
        <v>0</v>
      </c>
      <c r="AG70" s="360">
        <f t="shared" si="63"/>
        <v>0.83207186087215812</v>
      </c>
      <c r="AH70" s="360">
        <f t="shared" si="64"/>
        <v>2.2974331548703582</v>
      </c>
      <c r="AI70" s="360">
        <f t="shared" si="65"/>
        <v>1.3195497752743916E-2</v>
      </c>
      <c r="AJ70" s="360">
        <f t="shared" si="66"/>
        <v>0.10043039999999999</v>
      </c>
      <c r="AK70" s="360">
        <f t="shared" si="67"/>
        <v>0.113854257018824</v>
      </c>
      <c r="AL70" s="360">
        <f t="shared" si="68"/>
        <v>0.10043039999999999</v>
      </c>
      <c r="AM70" s="360">
        <f t="shared" si="69"/>
        <v>1.6140600000000001</v>
      </c>
      <c r="AN70" s="360">
        <f t="shared" si="70"/>
        <v>6.276517236351184E-2</v>
      </c>
      <c r="AO70" s="360">
        <f t="shared" si="71"/>
        <v>7.3499999999999998E-4</v>
      </c>
      <c r="AP70" s="360">
        <f t="shared" si="72"/>
        <v>0.34650000000000003</v>
      </c>
      <c r="AQ70" s="360">
        <f t="shared" si="26"/>
        <v>1.3167</v>
      </c>
      <c r="AR70" s="360">
        <f t="shared" si="73"/>
        <v>1.1088</v>
      </c>
      <c r="AS70" s="360">
        <f t="shared" si="74"/>
        <v>0.34723500000000002</v>
      </c>
      <c r="AT70" s="360">
        <f t="shared" si="75"/>
        <v>3.4041187059057005</v>
      </c>
      <c r="AU70">
        <f t="shared" si="76"/>
        <v>8.0519999999999996</v>
      </c>
      <c r="AV70" s="542">
        <f t="shared" si="47"/>
        <v>0.70285584557090386</v>
      </c>
      <c r="AW70" s="551">
        <f t="shared" si="77"/>
        <v>94.867573043607905</v>
      </c>
      <c r="AX70" s="551">
        <f t="shared" si="78"/>
        <v>24.566774166715312</v>
      </c>
      <c r="AY70" s="9"/>
      <c r="AZ70" s="4">
        <f t="shared" si="48"/>
        <v>70.285584557090388</v>
      </c>
      <c r="BA70" s="360">
        <f t="shared" si="79"/>
        <v>0.33221665159773839</v>
      </c>
      <c r="BB70" s="360">
        <f t="shared" si="80"/>
        <v>2.5599861178909822</v>
      </c>
      <c r="BC70" s="360">
        <f t="shared" si="81"/>
        <v>1.8973514608721582</v>
      </c>
      <c r="BD70" s="360">
        <f t="shared" si="82"/>
        <v>0.64649405701882401</v>
      </c>
      <c r="BE70" s="360">
        <f t="shared" si="83"/>
        <v>6.276517236351184E-2</v>
      </c>
      <c r="BK70" s="18"/>
      <c r="BL70" s="19"/>
    </row>
    <row r="71" spans="1:64" x14ac:dyDescent="0.2">
      <c r="A71" s="14" t="s">
        <v>59</v>
      </c>
      <c r="B71" s="15" t="s">
        <v>7</v>
      </c>
      <c r="C71" s="17" t="s">
        <v>76</v>
      </c>
      <c r="G71">
        <v>62</v>
      </c>
      <c r="H71" s="548">
        <f t="shared" si="49"/>
        <v>21</v>
      </c>
      <c r="I71" s="4">
        <f t="shared" si="50"/>
        <v>1</v>
      </c>
      <c r="J71" s="360">
        <f t="shared" si="84"/>
        <v>2.48</v>
      </c>
      <c r="K71" s="360">
        <f t="shared" si="51"/>
        <v>2.48</v>
      </c>
      <c r="L71" s="4">
        <f t="shared" si="52"/>
        <v>0.43301587301587291</v>
      </c>
      <c r="M71" s="360">
        <f t="shared" si="53"/>
        <v>0.15908740528698923</v>
      </c>
      <c r="N71" s="4">
        <f t="shared" si="54"/>
        <v>1.9688425554366102</v>
      </c>
      <c r="O71" s="4">
        <f t="shared" si="39"/>
        <v>3.464421277718305</v>
      </c>
      <c r="P71" s="4">
        <f t="shared" si="40"/>
        <v>1.495578722281695</v>
      </c>
      <c r="Q71" s="4">
        <f t="shared" si="55"/>
        <v>0</v>
      </c>
      <c r="R71" s="4">
        <f t="shared" si="41"/>
        <v>2.5442933041104978</v>
      </c>
      <c r="S71" s="360">
        <f t="shared" si="56"/>
        <v>3.2367142086707573E-2</v>
      </c>
      <c r="T71" s="360">
        <f t="shared" si="57"/>
        <v>0.3</v>
      </c>
      <c r="U71" s="360">
        <f t="shared" si="58"/>
        <v>0.3332299983029175</v>
      </c>
      <c r="V71" s="4">
        <f t="shared" si="42"/>
        <v>0.56835588968665884</v>
      </c>
      <c r="W71" s="360">
        <f t="shared" si="10"/>
        <v>6.4605683468302701E-4</v>
      </c>
      <c r="X71" s="360">
        <f t="shared" si="43"/>
        <v>6.4605683468302701E-4</v>
      </c>
      <c r="Y71" s="4">
        <f t="shared" si="44"/>
        <v>0.93059454585654067</v>
      </c>
      <c r="Z71" s="360">
        <f t="shared" si="11"/>
        <v>8.6600620877794123E-4</v>
      </c>
      <c r="AA71" s="541">
        <f t="shared" si="45"/>
        <v>8.6600620877794123E-4</v>
      </c>
      <c r="AB71" s="360">
        <f t="shared" si="46"/>
        <v>1.0148107854304282</v>
      </c>
      <c r="AC71" s="360">
        <f t="shared" si="59"/>
        <v>6.179045581355536E-3</v>
      </c>
      <c r="AD71" s="360">
        <f t="shared" si="60"/>
        <v>0.19376574916517819</v>
      </c>
      <c r="AE71" s="360">
        <f t="shared" si="61"/>
        <v>0.63444464999999983</v>
      </c>
      <c r="AF71" s="360">
        <f t="shared" si="62"/>
        <v>0</v>
      </c>
      <c r="AG71" s="360">
        <f t="shared" si="63"/>
        <v>0.83542186670534024</v>
      </c>
      <c r="AH71" s="360">
        <f t="shared" si="64"/>
        <v>2.3331496923934374</v>
      </c>
      <c r="AI71" s="360">
        <f t="shared" si="65"/>
        <v>1.3608968717788978E-2</v>
      </c>
      <c r="AJ71" s="360">
        <f t="shared" si="66"/>
        <v>0.10207679999999998</v>
      </c>
      <c r="AK71" s="360">
        <f t="shared" si="67"/>
        <v>0.11592556808710174</v>
      </c>
      <c r="AL71" s="360">
        <f t="shared" si="68"/>
        <v>0.10207679999999998</v>
      </c>
      <c r="AM71" s="360">
        <f t="shared" si="69"/>
        <v>1.64052</v>
      </c>
      <c r="AN71" s="360">
        <f t="shared" si="70"/>
        <v>6.4734284173415146E-2</v>
      </c>
      <c r="AO71" s="360">
        <f t="shared" si="71"/>
        <v>7.3499999999999998E-4</v>
      </c>
      <c r="AP71" s="360">
        <f t="shared" si="72"/>
        <v>0.34650000000000003</v>
      </c>
      <c r="AQ71" s="360">
        <f t="shared" si="26"/>
        <v>1.3167</v>
      </c>
      <c r="AR71" s="360">
        <f t="shared" si="73"/>
        <v>1.1088</v>
      </c>
      <c r="AS71" s="360">
        <f t="shared" si="74"/>
        <v>0.34723500000000002</v>
      </c>
      <c r="AT71" s="360">
        <f t="shared" si="75"/>
        <v>3.4406555803122356</v>
      </c>
      <c r="AU71">
        <f t="shared" si="76"/>
        <v>8.1839999999999993</v>
      </c>
      <c r="AV71" s="542">
        <f t="shared" si="47"/>
        <v>0.70402085837799766</v>
      </c>
      <c r="AW71" s="551">
        <f t="shared" si="77"/>
        <v>95.90825333526702</v>
      </c>
      <c r="AX71" s="551">
        <f t="shared" si="78"/>
        <v>24.97729238730987</v>
      </c>
      <c r="AY71" s="9"/>
      <c r="AZ71" s="4">
        <f t="shared" si="48"/>
        <v>70.40208583779976</v>
      </c>
      <c r="BA71" s="360">
        <f t="shared" si="79"/>
        <v>0.3332299983029175</v>
      </c>
      <c r="BB71" s="360">
        <f t="shared" si="80"/>
        <v>2.5918674347924417</v>
      </c>
      <c r="BC71" s="360">
        <f t="shared" si="81"/>
        <v>1.9181650667053405</v>
      </c>
      <c r="BD71" s="360">
        <f t="shared" si="82"/>
        <v>0.65729716808710181</v>
      </c>
      <c r="BE71" s="360">
        <f t="shared" si="83"/>
        <v>6.4734284173415146E-2</v>
      </c>
      <c r="BK71" s="18"/>
      <c r="BL71" s="19"/>
    </row>
    <row r="72" spans="1:64" x14ac:dyDescent="0.2">
      <c r="A72" s="32" t="s">
        <v>88</v>
      </c>
      <c r="B72" s="450">
        <f>(Qgd_Q1+Qgs_Q1/2)*(RdsonDRT+Rgate1)/(VCC-Vsp_Q1)*1000000000</f>
        <v>2.4294478527607359</v>
      </c>
      <c r="C72" s="21" t="s">
        <v>75</v>
      </c>
      <c r="D72" s="114" t="s">
        <v>508</v>
      </c>
      <c r="G72">
        <v>63</v>
      </c>
      <c r="H72" s="548">
        <f t="shared" si="49"/>
        <v>21</v>
      </c>
      <c r="I72" s="4">
        <f t="shared" si="50"/>
        <v>1</v>
      </c>
      <c r="J72" s="360">
        <f t="shared" si="84"/>
        <v>2.52</v>
      </c>
      <c r="K72" s="360">
        <f t="shared" si="51"/>
        <v>2.52</v>
      </c>
      <c r="L72" s="4">
        <f t="shared" si="52"/>
        <v>0.43999999999999989</v>
      </c>
      <c r="M72" s="360">
        <f t="shared" si="53"/>
        <v>0.15911874452212985</v>
      </c>
      <c r="N72" s="4">
        <f t="shared" si="54"/>
        <v>1.9691813770613056</v>
      </c>
      <c r="O72" s="4">
        <f t="shared" si="39"/>
        <v>3.5045906885306528</v>
      </c>
      <c r="P72" s="4">
        <f t="shared" si="40"/>
        <v>1.5354093114693472</v>
      </c>
      <c r="Q72" s="4">
        <f t="shared" si="55"/>
        <v>0</v>
      </c>
      <c r="R72" s="4">
        <f t="shared" si="41"/>
        <v>2.5833194939806461</v>
      </c>
      <c r="S72" s="360">
        <f t="shared" si="56"/>
        <v>3.3367698039902111E-2</v>
      </c>
      <c r="T72" s="360">
        <f t="shared" si="57"/>
        <v>0.3</v>
      </c>
      <c r="U72" s="360">
        <f t="shared" si="58"/>
        <v>0.33425997691803211</v>
      </c>
      <c r="V72" s="4">
        <f t="shared" si="42"/>
        <v>0.56845369906477139</v>
      </c>
      <c r="W72" s="360">
        <f t="shared" si="10"/>
        <v>6.4627921596084343E-4</v>
      </c>
      <c r="X72" s="360">
        <f t="shared" si="43"/>
        <v>6.4627921596084343E-4</v>
      </c>
      <c r="Y72" s="4">
        <f t="shared" si="44"/>
        <v>0.94494412379682813</v>
      </c>
      <c r="Z72" s="360">
        <f t="shared" si="11"/>
        <v>8.929193970981553E-4</v>
      </c>
      <c r="AA72" s="541">
        <f t="shared" si="45"/>
        <v>8.929193970981553E-4</v>
      </c>
      <c r="AB72" s="360">
        <f t="shared" si="46"/>
        <v>1.0304781627674364</v>
      </c>
      <c r="AC72" s="360">
        <f t="shared" si="59"/>
        <v>6.3713114636433079E-3</v>
      </c>
      <c r="AD72" s="360">
        <f t="shared" si="60"/>
        <v>0.1968910031839714</v>
      </c>
      <c r="AE72" s="360">
        <f t="shared" si="61"/>
        <v>0.63444464999999983</v>
      </c>
      <c r="AF72" s="360">
        <f t="shared" si="62"/>
        <v>0</v>
      </c>
      <c r="AG72" s="360">
        <f t="shared" si="63"/>
        <v>0.83877578500249717</v>
      </c>
      <c r="AH72" s="360">
        <f t="shared" si="64"/>
        <v>2.368893067244672</v>
      </c>
      <c r="AI72" s="360">
        <f t="shared" si="65"/>
        <v>1.4029135910099674E-2</v>
      </c>
      <c r="AJ72" s="360">
        <f t="shared" si="66"/>
        <v>0.10372319999999999</v>
      </c>
      <c r="AK72" s="360">
        <f t="shared" si="67"/>
        <v>0.1180039709595712</v>
      </c>
      <c r="AL72" s="360">
        <f t="shared" si="68"/>
        <v>0.10372319999999999</v>
      </c>
      <c r="AM72" s="360">
        <f t="shared" si="69"/>
        <v>1.6669799999999999</v>
      </c>
      <c r="AN72" s="360">
        <f t="shared" si="70"/>
        <v>6.6735396079804221E-2</v>
      </c>
      <c r="AO72" s="360">
        <f t="shared" si="71"/>
        <v>7.3499999999999998E-4</v>
      </c>
      <c r="AP72" s="360">
        <f t="shared" si="72"/>
        <v>0.34650000000000003</v>
      </c>
      <c r="AQ72" s="360">
        <f t="shared" si="26"/>
        <v>1.3167</v>
      </c>
      <c r="AR72" s="360">
        <f t="shared" si="73"/>
        <v>1.1088</v>
      </c>
      <c r="AS72" s="360">
        <f t="shared" si="74"/>
        <v>0.34723500000000002</v>
      </c>
      <c r="AT72" s="360">
        <f t="shared" si="75"/>
        <v>3.4772525275729635</v>
      </c>
      <c r="AU72">
        <f t="shared" si="76"/>
        <v>8.3159999999999989</v>
      </c>
      <c r="AV72" s="542">
        <f t="shared" si="47"/>
        <v>0.70514898078854438</v>
      </c>
      <c r="AW72" s="551">
        <f t="shared" si="77"/>
        <v>96.949129250124869</v>
      </c>
      <c r="AX72" s="551">
        <f t="shared" si="78"/>
        <v>25.388080096463703</v>
      </c>
      <c r="AY72" s="9"/>
      <c r="AZ72" s="4">
        <f t="shared" si="48"/>
        <v>70.514898078854443</v>
      </c>
      <c r="BA72" s="360">
        <f t="shared" si="79"/>
        <v>0.33425997691803211</v>
      </c>
      <c r="BB72" s="360">
        <f t="shared" si="80"/>
        <v>2.6237597559620682</v>
      </c>
      <c r="BC72" s="360">
        <f t="shared" si="81"/>
        <v>1.9389825850024973</v>
      </c>
      <c r="BD72" s="360">
        <f t="shared" si="82"/>
        <v>0.66810737095957118</v>
      </c>
      <c r="BE72" s="360">
        <f t="shared" si="83"/>
        <v>6.6735396079804221E-2</v>
      </c>
      <c r="BK72" s="18"/>
      <c r="BL72" s="19"/>
    </row>
    <row r="73" spans="1:64" x14ac:dyDescent="0.2">
      <c r="A73" s="33" t="s">
        <v>89</v>
      </c>
      <c r="B73" s="450">
        <f>(Qgd_Q1+Qgs_Q1/2)*(RdsonDRT2+Rgate1)/(Vsp_Q1)*1000000000</f>
        <v>1.1139240506329113</v>
      </c>
      <c r="C73" s="21" t="s">
        <v>75</v>
      </c>
      <c r="D73" s="114" t="s">
        <v>509</v>
      </c>
      <c r="G73">
        <v>64</v>
      </c>
      <c r="H73" s="548">
        <f t="shared" ref="H73:H109" si="85">Vin</f>
        <v>21</v>
      </c>
      <c r="I73" s="4">
        <f t="shared" ref="I73:I109" si="86">MODE</f>
        <v>1</v>
      </c>
      <c r="J73" s="360">
        <f t="shared" si="84"/>
        <v>2.56</v>
      </c>
      <c r="K73" s="360">
        <f t="shared" ref="K73:K109" si="87">Iout*G73/100/Number_of_Phases</f>
        <v>2.56</v>
      </c>
      <c r="L73" s="4">
        <f t="shared" ref="L73:L104" si="88">Vout*K73/(Vin*Efficiency)</f>
        <v>0.44698412698412693</v>
      </c>
      <c r="M73" s="360">
        <f t="shared" ref="M73:M109" si="89">(Vout+(Rdson2+Rs+Rdcr)*K73)/(Vin+(Rs+Rdson2-Rdson1)*K73)</f>
        <v>0.15915008298186581</v>
      </c>
      <c r="N73" s="4">
        <f t="shared" ref="N73:N104" si="90">(Vin-(Rdson1+Rdcr)*K73-Vout)*M73/(Fsw*Lf)</f>
        <v>1.9695201697774893</v>
      </c>
      <c r="O73" s="4">
        <f t="shared" si="39"/>
        <v>3.5447600848887446</v>
      </c>
      <c r="P73" s="4">
        <f t="shared" si="40"/>
        <v>1.5752399151112555</v>
      </c>
      <c r="Q73" s="4">
        <f t="shared" ref="Q73:Q104" si="91">IF(MIN(Vin, -P73/(Coss_Q1+Coss_Q2)*0.00000002)&lt;0, 0, MIN(Vin, -P73/(Coss_Q1+Coss_Q2)*0.00000002))</f>
        <v>0</v>
      </c>
      <c r="R73" s="4">
        <f t="shared" si="41"/>
        <v>2.6223750319630796</v>
      </c>
      <c r="S73" s="360">
        <f t="shared" ref="S73:S104" si="92">R73^2*Rdcr</f>
        <v>3.4384254041316814E-2</v>
      </c>
      <c r="T73" s="360">
        <f t="shared" ref="T73:T109" si="93">Core_Loss_Ch1</f>
        <v>0.3</v>
      </c>
      <c r="U73" s="360">
        <f t="shared" ref="U73:U104" si="94">(T73+S73*(1+Ltc*(Ta-25)))/(1-S73*Ltc*ThetaCa)</f>
        <v>0.33530659541399227</v>
      </c>
      <c r="V73" s="4">
        <f t="shared" si="42"/>
        <v>0.56855150009771549</v>
      </c>
      <c r="W73" s="360">
        <f t="shared" si="10"/>
        <v>6.4650161652672514E-4</v>
      </c>
      <c r="X73" s="360">
        <f t="shared" si="43"/>
        <v>6.4650161652672514E-4</v>
      </c>
      <c r="Y73" s="4">
        <f t="shared" si="44"/>
        <v>0.95930670244371508</v>
      </c>
      <c r="Z73" s="360">
        <f t="shared" si="11"/>
        <v>9.2026934935343456E-4</v>
      </c>
      <c r="AA73" s="541">
        <f t="shared" si="45"/>
        <v>9.2026934935343456E-4</v>
      </c>
      <c r="AB73" s="360">
        <f t="shared" si="46"/>
        <v>1.0461603016694072</v>
      </c>
      <c r="AC73" s="360">
        <f t="shared" ref="AC73:AC104" si="95">Rdson1*AB73^2</f>
        <v>6.5667082607341514E-3</v>
      </c>
      <c r="AD73" s="360">
        <f t="shared" ref="AD73:AD109" si="96">(Vin*K73/2)*Fsw*(Tr_buck+Tf_buck)</f>
        <v>0.20001625720276459</v>
      </c>
      <c r="AE73" s="360">
        <f t="shared" ref="AE73:AE109" si="97">(0.5*Coss_Q1*(Vin-Q73)^2-0.5*Coss_Q2*(Vin-Q73)^2+(Qoss_Q2*(Vin-Q73)/Vin)*Vin)*Fsw</f>
        <v>0.63444464999999983</v>
      </c>
      <c r="AF73" s="360">
        <f t="shared" ref="AF73:AF109" si="98">IF(K73&gt;N73/2,0,ABS(K73-N73/2)*Vsd_Q1*Deadtime*Fsw)</f>
        <v>0</v>
      </c>
      <c r="AG73" s="360">
        <f t="shared" ref="AG73:AG104" si="99">(AF73+AE73+AD73+AC73*(1+RdsonTopTc*Ta-RdsonTopTc*25))/(1-AC73*RdsonTopTc*ThetaJA_Q1)</f>
        <v>0.84213362462939778</v>
      </c>
      <c r="AH73" s="360">
        <f t="shared" ref="AH73:AH109" si="100">SQRT((1-M73))*SQRT(K73^2+(N73^2)/12)</f>
        <v>2.4046620202170486</v>
      </c>
      <c r="AI73" s="360">
        <f t="shared" ref="AI73:AI104" si="101">Rdson2*AH73^2</f>
        <v>1.4455998578685843E-2</v>
      </c>
      <c r="AJ73" s="360">
        <f t="shared" ref="AJ73:AJ109" si="102">IF(K73&lt;N73/2,Deadtime*Fsw*IF(VfdSky_Q2&gt;0,0,Vsd_Q2)*(K73+N73/2),2*Deadtime*Fsw*IF(VfdSky_Q2&gt;0,0,Vsd_Q2)*K73)</f>
        <v>0.10536959999999999</v>
      </c>
      <c r="AK73" s="360">
        <f t="shared" ref="AK73:AK104" si="103">(AJ73+AI73*(1+RdsonBotTc*Ta-RdsonBotTc*25))/(1-AI73*RdsonBotTc*ThetaJA_Q2)</f>
        <v>0.12008947259194168</v>
      </c>
      <c r="AL73" s="360">
        <f t="shared" ref="AL73:AL109" si="104">2*Deadtime*Fsw*IF(VfdSky_Q2&gt;0,VfdSky_Q2,Vsd_Q2)*K73</f>
        <v>0.10536959999999999</v>
      </c>
      <c r="AM73" s="360">
        <f t="shared" ref="AM73:AM109" si="105">IF(QrrSky_Q2&gt;0,QrrSky_Q2,Qrr_Q2*K73/(Iout/Number_of_Phases))*Fsw*Vin</f>
        <v>1.6934400000000001</v>
      </c>
      <c r="AN73" s="360">
        <f t="shared" ref="AN73:AN109" si="106">CHOOSE(SENSING_TYPE, Rs*R73^2, 0)</f>
        <v>6.8768508082633628E-2</v>
      </c>
      <c r="AO73" s="360">
        <f t="shared" ref="AO73:AO109" si="107">Iq*Vin</f>
        <v>7.3499999999999998E-4</v>
      </c>
      <c r="AP73" s="360">
        <f t="shared" ref="AP73:AP109" si="108">IF(Ext_VCC=1,  (Qg_Q1+Qg_Q2)*Fsw*VCC, (Qg_Q1+Qg_Q2)*Fsw*Vin)</f>
        <v>0.34650000000000003</v>
      </c>
      <c r="AQ73" s="360">
        <f t="shared" ref="AQ73:AQ109" si="109">(Vin-VCC)*Fsw*(Qg_Q1+Qg_Q2)+(RdsonDRT+RdsonDRT2)*Fsw*Qg_Q1*VCC/(RdsonDRT+2*Rgate1+RdsonDRT2)+(RdsonDRB+RdsonDRB2)*Fsw*Qg_Q2*VCC/(RdsonDRB+2*Rgate2+RdsonDRB2)</f>
        <v>1.3167</v>
      </c>
      <c r="AR73" s="360">
        <f t="shared" ref="AR73:AR109" si="110">(Qg_Q1+Qg_Q2)*Fsw*(Vin-VCC)</f>
        <v>1.1088</v>
      </c>
      <c r="AS73" s="360">
        <f t="shared" si="74"/>
        <v>0.34723500000000002</v>
      </c>
      <c r="AT73" s="360">
        <f t="shared" ref="AT73:AT104" si="111" xml:space="preserve"> SUM(U73,X73,AA73,AG73,AK73,AL73,AM73,AS73,AN73)</f>
        <v>3.5139095716838455</v>
      </c>
      <c r="AU73">
        <f t="shared" ref="AU73:AU109" si="112">Vout*K73</f>
        <v>8.4480000000000004</v>
      </c>
      <c r="AV73" s="542">
        <f t="shared" si="47"/>
        <v>0.70624175424282176</v>
      </c>
      <c r="AW73" s="551">
        <f t="shared" ref="AW73:AW109" si="113">ThetaJA_Q1*BC73</f>
        <v>97.990201231469896</v>
      </c>
      <c r="AX73" s="551">
        <f t="shared" ref="AX73:AX109" si="114">ThetaJA_Q2*BD73</f>
        <v>25.799137558493786</v>
      </c>
      <c r="AY73" s="9"/>
      <c r="AZ73" s="4">
        <f t="shared" si="48"/>
        <v>70.624175424282171</v>
      </c>
      <c r="BA73" s="360">
        <f t="shared" ref="BA73:BA109" si="115">U73</f>
        <v>0.33530659541399227</v>
      </c>
      <c r="BB73" s="360">
        <f t="shared" si="80"/>
        <v>2.6556630972213395</v>
      </c>
      <c r="BC73" s="360">
        <f t="shared" si="81"/>
        <v>1.959804024629398</v>
      </c>
      <c r="BD73" s="360">
        <f t="shared" si="82"/>
        <v>0.67892467259194178</v>
      </c>
      <c r="BE73" s="360">
        <f t="shared" si="83"/>
        <v>6.8768508082633628E-2</v>
      </c>
      <c r="BK73" s="18"/>
      <c r="BL73" s="19"/>
    </row>
    <row r="74" spans="1:64" x14ac:dyDescent="0.2">
      <c r="A74" s="14" t="s">
        <v>114</v>
      </c>
      <c r="B74" s="15" t="s">
        <v>7</v>
      </c>
      <c r="C74" s="17" t="s">
        <v>76</v>
      </c>
      <c r="G74">
        <v>65</v>
      </c>
      <c r="H74" s="548">
        <f t="shared" si="85"/>
        <v>21</v>
      </c>
      <c r="I74" s="4">
        <f t="shared" si="86"/>
        <v>1</v>
      </c>
      <c r="J74" s="360">
        <f t="shared" ref="J74:J109" si="116">Iout*G74/100</f>
        <v>2.6</v>
      </c>
      <c r="K74" s="360">
        <f t="shared" si="87"/>
        <v>2.6</v>
      </c>
      <c r="L74" s="4">
        <f t="shared" si="88"/>
        <v>0.45396825396825391</v>
      </c>
      <c r="M74" s="360">
        <f t="shared" si="89"/>
        <v>0.15918142066622576</v>
      </c>
      <c r="N74" s="4">
        <f t="shared" si="90"/>
        <v>1.9698589335862335</v>
      </c>
      <c r="O74" s="4">
        <f t="shared" ref="O74:O109" si="117">K74+N74/2</f>
        <v>3.5849294667931169</v>
      </c>
      <c r="P74" s="4">
        <f t="shared" ref="P74:P109" si="118">K74-N74/2</f>
        <v>1.6150705332068833</v>
      </c>
      <c r="Q74" s="4">
        <f t="shared" si="91"/>
        <v>0</v>
      </c>
      <c r="R74" s="4">
        <f t="shared" ref="R74:R109" si="119">SQRT(K74^2+(N74^2)/12)</f>
        <v>2.6614586260518482</v>
      </c>
      <c r="S74" s="360">
        <f t="shared" si="92"/>
        <v>3.5416810090928959E-2</v>
      </c>
      <c r="T74" s="360">
        <f t="shared" si="93"/>
        <v>0.3</v>
      </c>
      <c r="U74" s="360">
        <f t="shared" si="94"/>
        <v>0.33636986189244544</v>
      </c>
      <c r="V74" s="4">
        <f t="shared" ref="V74:V109" si="120">N74/SQRT(12)</f>
        <v>0.56864929278580056</v>
      </c>
      <c r="W74" s="360">
        <f t="shared" ref="W74:W109" si="121">RCoutEsr*V74^2</f>
        <v>6.4672403637158228E-4</v>
      </c>
      <c r="X74" s="360">
        <f t="shared" ref="X74:X109" si="122">W74</f>
        <v>6.4672403637158228E-4</v>
      </c>
      <c r="Y74" s="4">
        <f t="shared" ref="Y74:Y109" si="123">SQRT(M74*(1-M74))*SQRT(K74^2+(N74^2)/12)</f>
        <v>0.97368181102593809</v>
      </c>
      <c r="Z74" s="360">
        <f t="shared" ref="Z74:Z109" si="124">RCinEsr*Y74^2</f>
        <v>9.4805626912275063E-4</v>
      </c>
      <c r="AA74" s="541">
        <f t="shared" ref="AA74:AA109" si="125">Z74</f>
        <v>9.4805626912275063E-4</v>
      </c>
      <c r="AB74" s="360">
        <f t="shared" ref="AB74:AB109" si="126">SQRT(M74)*SQRT(K74^2+(N74^2)/12)</f>
        <v>1.0618566895527843</v>
      </c>
      <c r="AC74" s="360">
        <f t="shared" si="95"/>
        <v>6.7652377748879892E-3</v>
      </c>
      <c r="AD74" s="360">
        <f t="shared" si="96"/>
        <v>0.2031415112215578</v>
      </c>
      <c r="AE74" s="360">
        <f t="shared" si="97"/>
        <v>0.63444464999999983</v>
      </c>
      <c r="AF74" s="360">
        <f t="shared" si="98"/>
        <v>0</v>
      </c>
      <c r="AG74" s="360">
        <f t="shared" si="99"/>
        <v>0.84549539447268163</v>
      </c>
      <c r="AH74" s="360">
        <f t="shared" si="100"/>
        <v>2.4404553650984466</v>
      </c>
      <c r="AI74" s="360">
        <f t="shared" si="101"/>
        <v>1.4889555972594481E-2</v>
      </c>
      <c r="AJ74" s="360">
        <f t="shared" si="102"/>
        <v>0.10701599999999999</v>
      </c>
      <c r="AK74" s="360">
        <f t="shared" si="103"/>
        <v>0.12218207998424803</v>
      </c>
      <c r="AL74" s="360">
        <f t="shared" si="104"/>
        <v>0.10701599999999999</v>
      </c>
      <c r="AM74" s="360">
        <f t="shared" si="105"/>
        <v>1.7199</v>
      </c>
      <c r="AN74" s="360">
        <f t="shared" si="106"/>
        <v>7.0833620181857918E-2</v>
      </c>
      <c r="AO74" s="360">
        <f t="shared" si="107"/>
        <v>7.3499999999999998E-4</v>
      </c>
      <c r="AP74" s="360">
        <f t="shared" si="108"/>
        <v>0.34650000000000003</v>
      </c>
      <c r="AQ74" s="360">
        <f t="shared" si="109"/>
        <v>1.3167</v>
      </c>
      <c r="AR74" s="360">
        <f t="shared" si="110"/>
        <v>1.1088</v>
      </c>
      <c r="AS74" s="360">
        <f t="shared" si="74"/>
        <v>0.34723500000000002</v>
      </c>
      <c r="AT74" s="360">
        <f t="shared" si="111"/>
        <v>3.550626736836727</v>
      </c>
      <c r="AU74">
        <f t="shared" si="112"/>
        <v>8.58</v>
      </c>
      <c r="AV74" s="542">
        <f t="shared" ref="AV74:AV109" si="127">AU74/(AU74+AT74)</f>
        <v>0.7073006355018211</v>
      </c>
      <c r="AW74" s="551">
        <f t="shared" si="113"/>
        <v>99.031469723634075</v>
      </c>
      <c r="AX74" s="551">
        <f t="shared" si="114"/>
        <v>26.210465039401427</v>
      </c>
      <c r="AY74" s="9"/>
      <c r="AZ74" s="4">
        <f t="shared" ref="AZ74:AZ109" si="128">AV74*100</f>
        <v>70.730063550182109</v>
      </c>
      <c r="BA74" s="360">
        <f t="shared" si="115"/>
        <v>0.33636986189244544</v>
      </c>
      <c r="BB74" s="360">
        <f t="shared" ref="BB74:BB109" si="129">AG74+AK74+AM74</f>
        <v>2.6875774744569298</v>
      </c>
      <c r="BC74" s="360">
        <f t="shared" ref="BC74:BC109" si="130">AG74+AM74*0.66</f>
        <v>1.9806293944726816</v>
      </c>
      <c r="BD74" s="360">
        <f t="shared" ref="BD74:BD109" si="131">AK74+AM74*0.33</f>
        <v>0.68974907998424806</v>
      </c>
      <c r="BE74" s="360">
        <f t="shared" ref="BE74:BE109" si="132">AN74</f>
        <v>7.0833620181857918E-2</v>
      </c>
      <c r="BK74" s="18"/>
      <c r="BL74" s="19"/>
    </row>
    <row r="75" spans="1:64" x14ac:dyDescent="0.2">
      <c r="A75" s="34" t="s">
        <v>115</v>
      </c>
      <c r="B75" s="603">
        <f>AS9</f>
        <v>0.34723500000000002</v>
      </c>
      <c r="C75" s="78" t="s">
        <v>116</v>
      </c>
      <c r="G75">
        <v>66</v>
      </c>
      <c r="H75" s="548">
        <f t="shared" si="85"/>
        <v>21</v>
      </c>
      <c r="I75" s="4">
        <f t="shared" si="86"/>
        <v>1</v>
      </c>
      <c r="J75" s="360">
        <f t="shared" si="116"/>
        <v>2.64</v>
      </c>
      <c r="K75" s="360">
        <f t="shared" si="87"/>
        <v>2.64</v>
      </c>
      <c r="L75" s="4">
        <f t="shared" si="88"/>
        <v>0.46095238095238089</v>
      </c>
      <c r="M75" s="360">
        <f t="shared" si="89"/>
        <v>0.15921275757523851</v>
      </c>
      <c r="N75" s="4">
        <f t="shared" si="90"/>
        <v>1.9701976684886109</v>
      </c>
      <c r="O75" s="4">
        <f t="shared" si="117"/>
        <v>3.6250988342443056</v>
      </c>
      <c r="P75" s="4">
        <f t="shared" si="118"/>
        <v>1.6549011657556947</v>
      </c>
      <c r="Q75" s="4">
        <f t="shared" si="91"/>
        <v>0</v>
      </c>
      <c r="R75" s="4">
        <f t="shared" si="119"/>
        <v>2.7005690581325936</v>
      </c>
      <c r="S75" s="360">
        <f t="shared" si="92"/>
        <v>3.646536618871582E-2</v>
      </c>
      <c r="T75" s="360">
        <f t="shared" si="93"/>
        <v>0.3</v>
      </c>
      <c r="U75" s="360">
        <f t="shared" si="94"/>
        <v>0.33744978458593416</v>
      </c>
      <c r="V75" s="4">
        <f t="shared" si="120"/>
        <v>0.56874707712933636</v>
      </c>
      <c r="W75" s="360">
        <f t="shared" si="121"/>
        <v>6.4694647548632655E-4</v>
      </c>
      <c r="X75" s="360">
        <f t="shared" si="122"/>
        <v>6.4694647548632655E-4</v>
      </c>
      <c r="Y75" s="4">
        <f t="shared" si="123"/>
        <v>0.98806900565565292</v>
      </c>
      <c r="Z75" s="360">
        <f t="shared" si="124"/>
        <v>9.7628035993735081E-4</v>
      </c>
      <c r="AA75" s="541">
        <f t="shared" si="125"/>
        <v>9.7628035993735081E-4</v>
      </c>
      <c r="AB75" s="360">
        <f t="shared" si="126"/>
        <v>1.077566843114274</v>
      </c>
      <c r="AC75" s="360">
        <f t="shared" si="95"/>
        <v>6.9669018082755742E-3</v>
      </c>
      <c r="AD75" s="360">
        <f t="shared" si="96"/>
        <v>0.20626676524035101</v>
      </c>
      <c r="AE75" s="360">
        <f t="shared" si="97"/>
        <v>0.63444464999999983</v>
      </c>
      <c r="AF75" s="360">
        <f t="shared" si="98"/>
        <v>0</v>
      </c>
      <c r="AG75" s="360">
        <f t="shared" si="99"/>
        <v>0.84886110343993249</v>
      </c>
      <c r="AH75" s="360">
        <f t="shared" si="100"/>
        <v>2.4762719835195615</v>
      </c>
      <c r="AI75" s="360">
        <f t="shared" si="101"/>
        <v>1.5329807340909758E-2</v>
      </c>
      <c r="AJ75" s="360">
        <f t="shared" si="102"/>
        <v>0.10866239999999999</v>
      </c>
      <c r="AK75" s="360">
        <f t="shared" si="103"/>
        <v>0.12428180018092853</v>
      </c>
      <c r="AL75" s="360">
        <f t="shared" si="104"/>
        <v>0.10866239999999999</v>
      </c>
      <c r="AM75" s="360">
        <f t="shared" si="105"/>
        <v>1.7463599999999999</v>
      </c>
      <c r="AN75" s="360">
        <f t="shared" si="106"/>
        <v>7.293073237743164E-2</v>
      </c>
      <c r="AO75" s="360">
        <f t="shared" si="107"/>
        <v>7.3499999999999998E-4</v>
      </c>
      <c r="AP75" s="360">
        <f t="shared" si="108"/>
        <v>0.34650000000000003</v>
      </c>
      <c r="AQ75" s="360">
        <f t="shared" si="109"/>
        <v>1.3167</v>
      </c>
      <c r="AR75" s="360">
        <f t="shared" si="110"/>
        <v>1.1088</v>
      </c>
      <c r="AS75" s="360">
        <f t="shared" ref="AS75:AS109" si="133">SUM(AO75:AP75)</f>
        <v>0.34723500000000002</v>
      </c>
      <c r="AT75" s="360">
        <f t="shared" si="111"/>
        <v>3.5874040474196502</v>
      </c>
      <c r="AU75">
        <f t="shared" si="112"/>
        <v>8.7119999999999997</v>
      </c>
      <c r="AV75" s="542">
        <f t="shared" si="127"/>
        <v>0.70832700238250423</v>
      </c>
      <c r="AW75" s="551">
        <f t="shared" si="113"/>
        <v>100.07293517199662</v>
      </c>
      <c r="AX75" s="551">
        <f t="shared" si="114"/>
        <v>26.622062806875284</v>
      </c>
      <c r="AY75" s="9"/>
      <c r="AZ75" s="4">
        <f t="shared" si="128"/>
        <v>70.832700238250425</v>
      </c>
      <c r="BA75" s="360">
        <f t="shared" si="115"/>
        <v>0.33744978458593416</v>
      </c>
      <c r="BB75" s="360">
        <f t="shared" si="129"/>
        <v>2.7195029036208611</v>
      </c>
      <c r="BC75" s="360">
        <f t="shared" si="130"/>
        <v>2.0014587034399325</v>
      </c>
      <c r="BD75" s="360">
        <f t="shared" si="131"/>
        <v>0.70058060018092849</v>
      </c>
      <c r="BE75" s="360">
        <f t="shared" si="132"/>
        <v>7.293073237743164E-2</v>
      </c>
      <c r="BK75" s="18"/>
      <c r="BL75" s="19"/>
    </row>
    <row r="76" spans="1:64" x14ac:dyDescent="0.2">
      <c r="A76" s="34" t="s">
        <v>119</v>
      </c>
      <c r="B76" s="604">
        <f>B75*B62</f>
        <v>10.41705</v>
      </c>
      <c r="C76" s="440" t="s">
        <v>465</v>
      </c>
      <c r="G76">
        <v>67</v>
      </c>
      <c r="H76" s="548">
        <f t="shared" si="85"/>
        <v>21</v>
      </c>
      <c r="I76" s="4">
        <f t="shared" si="86"/>
        <v>1</v>
      </c>
      <c r="J76" s="360">
        <f t="shared" si="116"/>
        <v>2.68</v>
      </c>
      <c r="K76" s="360">
        <f t="shared" si="87"/>
        <v>2.68</v>
      </c>
      <c r="L76" s="4">
        <f t="shared" si="88"/>
        <v>0.46793650793650787</v>
      </c>
      <c r="M76" s="360">
        <f t="shared" si="89"/>
        <v>0.15924409370893286</v>
      </c>
      <c r="N76" s="4">
        <f t="shared" si="90"/>
        <v>1.9705363744856945</v>
      </c>
      <c r="O76" s="4">
        <f t="shared" si="117"/>
        <v>3.6652681872428472</v>
      </c>
      <c r="P76" s="4">
        <f t="shared" si="118"/>
        <v>1.6947318127571529</v>
      </c>
      <c r="Q76" s="4">
        <f t="shared" si="91"/>
        <v>0</v>
      </c>
      <c r="R76" s="4">
        <f t="shared" si="119"/>
        <v>2.7397051788342002</v>
      </c>
      <c r="S76" s="360">
        <f t="shared" si="92"/>
        <v>3.7529922334654679E-2</v>
      </c>
      <c r="T76" s="360">
        <f t="shared" si="93"/>
        <v>0.3</v>
      </c>
      <c r="U76" s="360">
        <f t="shared" si="94"/>
        <v>0.33854637185805564</v>
      </c>
      <c r="V76" s="4">
        <f t="shared" si="120"/>
        <v>0.56884485312863253</v>
      </c>
      <c r="W76" s="360">
        <f t="shared" si="121"/>
        <v>6.4716893386187102E-4</v>
      </c>
      <c r="X76" s="360">
        <f t="shared" si="122"/>
        <v>6.4716893386187102E-4</v>
      </c>
      <c r="Y76" s="4">
        <f t="shared" si="123"/>
        <v>1.0024678674554919</v>
      </c>
      <c r="Z76" s="360">
        <f t="shared" si="124"/>
        <v>1.0049418252807616E-3</v>
      </c>
      <c r="AA76" s="541">
        <f t="shared" si="125"/>
        <v>1.0049418252807616E-3</v>
      </c>
      <c r="AB76" s="360">
        <f t="shared" si="126"/>
        <v>1.0932903062909431</v>
      </c>
      <c r="AC76" s="360">
        <f t="shared" si="95"/>
        <v>7.1717021629784652E-3</v>
      </c>
      <c r="AD76" s="360">
        <f t="shared" si="96"/>
        <v>0.20939201925914419</v>
      </c>
      <c r="AE76" s="360">
        <f t="shared" si="97"/>
        <v>0.63444464999999983</v>
      </c>
      <c r="AF76" s="360">
        <f t="shared" si="98"/>
        <v>0</v>
      </c>
      <c r="AG76" s="360">
        <f t="shared" si="99"/>
        <v>0.85223076045975166</v>
      </c>
      <c r="AH76" s="360">
        <f t="shared" si="100"/>
        <v>2.5121108202269244</v>
      </c>
      <c r="AI76" s="360">
        <f t="shared" si="101"/>
        <v>1.5776751932752978E-2</v>
      </c>
      <c r="AJ76" s="360">
        <f t="shared" si="102"/>
        <v>0.1103088</v>
      </c>
      <c r="AK76" s="360">
        <f t="shared" si="103"/>
        <v>0.12638864027090313</v>
      </c>
      <c r="AL76" s="360">
        <f t="shared" si="104"/>
        <v>0.1103088</v>
      </c>
      <c r="AM76" s="360">
        <f t="shared" si="105"/>
        <v>1.7728199999999998</v>
      </c>
      <c r="AN76" s="360">
        <f t="shared" si="106"/>
        <v>7.5059844669309359E-2</v>
      </c>
      <c r="AO76" s="360">
        <f t="shared" si="107"/>
        <v>7.3499999999999998E-4</v>
      </c>
      <c r="AP76" s="360">
        <f t="shared" si="108"/>
        <v>0.34650000000000003</v>
      </c>
      <c r="AQ76" s="360">
        <f t="shared" si="109"/>
        <v>1.3167</v>
      </c>
      <c r="AR76" s="360">
        <f t="shared" si="110"/>
        <v>1.1088</v>
      </c>
      <c r="AS76" s="360">
        <f t="shared" si="133"/>
        <v>0.34723500000000002</v>
      </c>
      <c r="AT76" s="360">
        <f t="shared" si="111"/>
        <v>3.624241528017162</v>
      </c>
      <c r="AU76">
        <f t="shared" si="112"/>
        <v>8.8439999999999994</v>
      </c>
      <c r="AV76" s="542">
        <f t="shared" si="127"/>
        <v>0.70932215903315687</v>
      </c>
      <c r="AW76" s="551">
        <f t="shared" si="113"/>
        <v>101.11459802298759</v>
      </c>
      <c r="AX76" s="551">
        <f t="shared" si="114"/>
        <v>27.033931130294317</v>
      </c>
      <c r="AY76" s="9"/>
      <c r="AZ76" s="4">
        <f t="shared" si="128"/>
        <v>70.932215903315694</v>
      </c>
      <c r="BA76" s="360">
        <f t="shared" si="115"/>
        <v>0.33854637185805564</v>
      </c>
      <c r="BB76" s="360">
        <f t="shared" si="129"/>
        <v>2.7514394007306544</v>
      </c>
      <c r="BC76" s="360">
        <f t="shared" si="130"/>
        <v>2.0222919604597518</v>
      </c>
      <c r="BD76" s="360">
        <f t="shared" si="131"/>
        <v>0.71141924027090309</v>
      </c>
      <c r="BE76" s="360">
        <f t="shared" si="132"/>
        <v>7.5059844669309359E-2</v>
      </c>
      <c r="BK76" s="18"/>
      <c r="BL76" s="19"/>
    </row>
    <row r="77" spans="1:64" x14ac:dyDescent="0.2">
      <c r="A77" s="34" t="s">
        <v>210</v>
      </c>
      <c r="B77" s="604">
        <f>(Qg_Q1+Qg_Q2)*Fsw+Iq</f>
        <v>6.9334999999999994E-2</v>
      </c>
      <c r="C77" s="21" t="s">
        <v>1</v>
      </c>
      <c r="G77">
        <v>68</v>
      </c>
      <c r="H77" s="548">
        <f t="shared" si="85"/>
        <v>21</v>
      </c>
      <c r="I77" s="4">
        <f t="shared" si="86"/>
        <v>1</v>
      </c>
      <c r="J77" s="360">
        <f t="shared" si="116"/>
        <v>2.72</v>
      </c>
      <c r="K77" s="360">
        <f t="shared" si="87"/>
        <v>2.72</v>
      </c>
      <c r="L77" s="4">
        <f t="shared" si="88"/>
        <v>0.47492063492063491</v>
      </c>
      <c r="M77" s="360">
        <f t="shared" si="89"/>
        <v>0.1592754290673376</v>
      </c>
      <c r="N77" s="4">
        <f t="shared" si="90"/>
        <v>1.9708750515785576</v>
      </c>
      <c r="O77" s="4">
        <f t="shared" si="117"/>
        <v>3.7054375257892791</v>
      </c>
      <c r="P77" s="4">
        <f t="shared" si="118"/>
        <v>1.7345624742107213</v>
      </c>
      <c r="Q77" s="4">
        <f t="shared" si="91"/>
        <v>0</v>
      </c>
      <c r="R77" s="4">
        <f t="shared" si="119"/>
        <v>2.7788659028000193</v>
      </c>
      <c r="S77" s="360">
        <f t="shared" si="92"/>
        <v>3.8610478528722833E-2</v>
      </c>
      <c r="T77" s="360">
        <f t="shared" si="93"/>
        <v>0.3</v>
      </c>
      <c r="U77" s="360">
        <f t="shared" si="94"/>
        <v>0.33965963220362455</v>
      </c>
      <c r="V77" s="4">
        <f t="shared" si="120"/>
        <v>0.56894262078399893</v>
      </c>
      <c r="W77" s="360">
        <f t="shared" si="121"/>
        <v>6.473914114891304E-4</v>
      </c>
      <c r="X77" s="360">
        <f t="shared" si="122"/>
        <v>6.473914114891304E-4</v>
      </c>
      <c r="Y77" s="4">
        <f t="shared" si="123"/>
        <v>1.0168780008382496</v>
      </c>
      <c r="Z77" s="360">
        <f t="shared" si="124"/>
        <v>1.0340408685887952E-3</v>
      </c>
      <c r="AA77" s="541">
        <f t="shared" si="125"/>
        <v>1.0340408685887952E-3</v>
      </c>
      <c r="AB77" s="360">
        <f t="shared" si="126"/>
        <v>1.109026648386553</v>
      </c>
      <c r="AC77" s="360">
        <f t="shared" si="95"/>
        <v>7.3796406409890663E-3</v>
      </c>
      <c r="AD77" s="360">
        <f t="shared" si="96"/>
        <v>0.2125172732779374</v>
      </c>
      <c r="AE77" s="360">
        <f t="shared" si="97"/>
        <v>0.63444464999999983</v>
      </c>
      <c r="AF77" s="360">
        <f t="shared" si="98"/>
        <v>0</v>
      </c>
      <c r="AG77" s="360">
        <f t="shared" si="99"/>
        <v>0.85560437448183324</v>
      </c>
      <c r="AH77" s="360">
        <f t="shared" si="100"/>
        <v>2.5479708787411712</v>
      </c>
      <c r="AI77" s="360">
        <f t="shared" si="101"/>
        <v>1.623038899728264E-2</v>
      </c>
      <c r="AJ77" s="360">
        <f t="shared" si="102"/>
        <v>0.11195519999999999</v>
      </c>
      <c r="AK77" s="360">
        <f t="shared" si="103"/>
        <v>0.12850260738765276</v>
      </c>
      <c r="AL77" s="360">
        <f t="shared" si="104"/>
        <v>0.11195519999999999</v>
      </c>
      <c r="AM77" s="360">
        <f t="shared" si="105"/>
        <v>1.7992800000000002</v>
      </c>
      <c r="AN77" s="360">
        <f t="shared" si="106"/>
        <v>7.7220957057445666E-2</v>
      </c>
      <c r="AO77" s="360">
        <f t="shared" si="107"/>
        <v>7.3499999999999998E-4</v>
      </c>
      <c r="AP77" s="360">
        <f t="shared" si="108"/>
        <v>0.34650000000000003</v>
      </c>
      <c r="AQ77" s="360">
        <f t="shared" si="109"/>
        <v>1.3167</v>
      </c>
      <c r="AR77" s="360">
        <f t="shared" si="110"/>
        <v>1.1088</v>
      </c>
      <c r="AS77" s="360">
        <f t="shared" si="133"/>
        <v>0.34723500000000002</v>
      </c>
      <c r="AT77" s="360">
        <f t="shared" si="111"/>
        <v>3.6611392034106345</v>
      </c>
      <c r="AU77">
        <f t="shared" si="112"/>
        <v>8.9760000000000009</v>
      </c>
      <c r="AV77" s="542">
        <f t="shared" si="127"/>
        <v>0.71028734079129785</v>
      </c>
      <c r="AW77" s="551">
        <f t="shared" si="113"/>
        <v>102.15645872409166</v>
      </c>
      <c r="AX77" s="551">
        <f t="shared" si="114"/>
        <v>27.446070280730808</v>
      </c>
      <c r="AY77" s="9"/>
      <c r="AZ77" s="4">
        <f t="shared" si="128"/>
        <v>71.028734079129791</v>
      </c>
      <c r="BA77" s="360">
        <f t="shared" si="115"/>
        <v>0.33965963220362455</v>
      </c>
      <c r="BB77" s="360">
        <f t="shared" si="129"/>
        <v>2.7833869818694863</v>
      </c>
      <c r="BC77" s="360">
        <f t="shared" si="130"/>
        <v>2.0431291744818334</v>
      </c>
      <c r="BD77" s="360">
        <f t="shared" si="131"/>
        <v>0.72226500738765287</v>
      </c>
      <c r="BE77" s="360">
        <f t="shared" si="132"/>
        <v>7.7220957057445666E-2</v>
      </c>
      <c r="BK77" s="18"/>
      <c r="BL77" s="19"/>
    </row>
    <row r="78" spans="1:64" x14ac:dyDescent="0.2">
      <c r="A78" s="34" t="s">
        <v>211</v>
      </c>
      <c r="B78" s="605">
        <f>Qrr_Q2*Fsw</f>
        <v>0.126</v>
      </c>
      <c r="C78" s="21" t="s">
        <v>1</v>
      </c>
      <c r="G78">
        <v>69</v>
      </c>
      <c r="H78" s="548">
        <f t="shared" si="85"/>
        <v>21</v>
      </c>
      <c r="I78" s="4">
        <f t="shared" si="86"/>
        <v>1</v>
      </c>
      <c r="J78" s="360">
        <f t="shared" si="116"/>
        <v>2.76</v>
      </c>
      <c r="K78" s="360">
        <f t="shared" si="87"/>
        <v>2.76</v>
      </c>
      <c r="L78" s="4">
        <f t="shared" si="88"/>
        <v>0.48190476190476178</v>
      </c>
      <c r="M78" s="360">
        <f t="shared" si="89"/>
        <v>0.15930676365048144</v>
      </c>
      <c r="N78" s="4">
        <f t="shared" si="90"/>
        <v>1.9712136997682719</v>
      </c>
      <c r="O78" s="4">
        <f t="shared" si="117"/>
        <v>3.7456068498841359</v>
      </c>
      <c r="P78" s="4">
        <f t="shared" si="118"/>
        <v>1.7743931501158638</v>
      </c>
      <c r="Q78" s="4">
        <f t="shared" si="91"/>
        <v>0</v>
      </c>
      <c r="R78" s="4">
        <f t="shared" si="119"/>
        <v>2.8180502043397859</v>
      </c>
      <c r="S78" s="360">
        <f t="shared" si="92"/>
        <v>3.9707034770897549E-2</v>
      </c>
      <c r="T78" s="360">
        <f t="shared" si="93"/>
        <v>0.3</v>
      </c>
      <c r="U78" s="360">
        <f t="shared" si="94"/>
        <v>0.34078957424883816</v>
      </c>
      <c r="V78" s="4">
        <f t="shared" si="120"/>
        <v>0.56904038009574498</v>
      </c>
      <c r="W78" s="360">
        <f t="shared" si="121"/>
        <v>6.4761390835901985E-4</v>
      </c>
      <c r="X78" s="360">
        <f t="shared" si="122"/>
        <v>6.4761390835901985E-4</v>
      </c>
      <c r="Y78" s="4">
        <f t="shared" si="123"/>
        <v>1.0312990319250541</v>
      </c>
      <c r="Z78" s="360">
        <f t="shared" si="124"/>
        <v>1.0635776932495537E-3</v>
      </c>
      <c r="AA78" s="541">
        <f t="shared" si="125"/>
        <v>1.0635776932495537E-3</v>
      </c>
      <c r="AB78" s="360">
        <f t="shared" si="126"/>
        <v>1.1247754623487147</v>
      </c>
      <c r="AC78" s="360">
        <f t="shared" si="95"/>
        <v>7.5907190442105902E-3</v>
      </c>
      <c r="AD78" s="360">
        <f t="shared" si="96"/>
        <v>0.21564252729673056</v>
      </c>
      <c r="AE78" s="360">
        <f t="shared" si="97"/>
        <v>0.63444464999999983</v>
      </c>
      <c r="AF78" s="360">
        <f t="shared" si="98"/>
        <v>0</v>
      </c>
      <c r="AG78" s="360">
        <f t="shared" si="99"/>
        <v>0.8589819544770374</v>
      </c>
      <c r="AH78" s="360">
        <f t="shared" si="100"/>
        <v>2.583851217364836</v>
      </c>
      <c r="AI78" s="360">
        <f t="shared" si="101"/>
        <v>1.6690717783694364E-2</v>
      </c>
      <c r="AJ78" s="360">
        <f t="shared" si="102"/>
        <v>0.11360159999999998</v>
      </c>
      <c r="AK78" s="360">
        <f t="shared" si="103"/>
        <v>0.13062370870929915</v>
      </c>
      <c r="AL78" s="360">
        <f t="shared" si="104"/>
        <v>0.11360159999999998</v>
      </c>
      <c r="AM78" s="360">
        <f t="shared" si="105"/>
        <v>1.8257399999999997</v>
      </c>
      <c r="AN78" s="360">
        <f t="shared" si="106"/>
        <v>7.9414069541795099E-2</v>
      </c>
      <c r="AO78" s="360">
        <f t="shared" si="107"/>
        <v>7.3499999999999998E-4</v>
      </c>
      <c r="AP78" s="360">
        <f t="shared" si="108"/>
        <v>0.34650000000000003</v>
      </c>
      <c r="AQ78" s="360">
        <f t="shared" si="109"/>
        <v>1.3167</v>
      </c>
      <c r="AR78" s="360">
        <f t="shared" si="110"/>
        <v>1.1088</v>
      </c>
      <c r="AS78" s="360">
        <f t="shared" si="133"/>
        <v>0.34723500000000002</v>
      </c>
      <c r="AT78" s="360">
        <f t="shared" si="111"/>
        <v>3.6980970985785784</v>
      </c>
      <c r="AU78">
        <f t="shared" si="112"/>
        <v>9.1079999999999988</v>
      </c>
      <c r="AV78" s="542">
        <f t="shared" si="127"/>
        <v>0.71122371866217915</v>
      </c>
      <c r="AW78" s="551">
        <f t="shared" si="113"/>
        <v>103.19851772385186</v>
      </c>
      <c r="AX78" s="551">
        <f t="shared" si="114"/>
        <v>27.858480530953369</v>
      </c>
      <c r="AY78" s="9"/>
      <c r="AZ78" s="4">
        <f t="shared" si="128"/>
        <v>71.122371866217918</v>
      </c>
      <c r="BA78" s="360">
        <f t="shared" si="115"/>
        <v>0.34078957424883816</v>
      </c>
      <c r="BB78" s="360">
        <f t="shared" si="129"/>
        <v>2.8153456631863363</v>
      </c>
      <c r="BC78" s="360">
        <f t="shared" si="130"/>
        <v>2.0639703544770374</v>
      </c>
      <c r="BD78" s="360">
        <f t="shared" si="131"/>
        <v>0.73311790870929916</v>
      </c>
      <c r="BE78" s="360">
        <f t="shared" si="132"/>
        <v>7.9414069541795099E-2</v>
      </c>
      <c r="BK78" s="18"/>
      <c r="BL78" s="19"/>
    </row>
    <row r="79" spans="1:64" x14ac:dyDescent="0.2">
      <c r="A79" s="34" t="s">
        <v>212</v>
      </c>
      <c r="B79" s="605">
        <f>Deadtime*Fsw*(Iripple_Vinnom/2)*(Vsd_Q2)/Vin</f>
        <v>9.6991724446432535E-4</v>
      </c>
      <c r="C79" s="21"/>
      <c r="G79">
        <v>70</v>
      </c>
      <c r="H79" s="548">
        <f t="shared" si="85"/>
        <v>21</v>
      </c>
      <c r="I79" s="4">
        <f t="shared" si="86"/>
        <v>1</v>
      </c>
      <c r="J79" s="360">
        <f t="shared" si="116"/>
        <v>2.8</v>
      </c>
      <c r="K79" s="360">
        <f t="shared" si="87"/>
        <v>2.8</v>
      </c>
      <c r="L79" s="4">
        <f t="shared" si="88"/>
        <v>0.48888888888888876</v>
      </c>
      <c r="M79" s="360">
        <f t="shared" si="89"/>
        <v>0.1593380974583932</v>
      </c>
      <c r="N79" s="4">
        <f t="shared" si="90"/>
        <v>1.971552319055911</v>
      </c>
      <c r="O79" s="4">
        <f t="shared" si="117"/>
        <v>3.7857761595279555</v>
      </c>
      <c r="P79" s="4">
        <f t="shared" si="118"/>
        <v>1.8142238404720443</v>
      </c>
      <c r="Q79" s="4">
        <f t="shared" si="91"/>
        <v>0</v>
      </c>
      <c r="R79" s="4">
        <f t="shared" si="119"/>
        <v>2.8572571134273561</v>
      </c>
      <c r="S79" s="360">
        <f t="shared" si="92"/>
        <v>4.0819591061156138E-2</v>
      </c>
      <c r="T79" s="360">
        <f t="shared" si="93"/>
        <v>0.3</v>
      </c>
      <c r="U79" s="360">
        <f t="shared" si="94"/>
        <v>0.34193620675144387</v>
      </c>
      <c r="V79" s="4">
        <f t="shared" si="120"/>
        <v>0.56913813106418065</v>
      </c>
      <c r="W79" s="360">
        <f t="shared" si="121"/>
        <v>6.4783642446245699E-4</v>
      </c>
      <c r="X79" s="360">
        <f t="shared" si="122"/>
        <v>6.4783642446245699E-4</v>
      </c>
      <c r="Y79" s="4">
        <f t="shared" si="123"/>
        <v>1.0457306070893391</v>
      </c>
      <c r="Z79" s="360">
        <f t="shared" si="124"/>
        <v>1.0935525026034376E-3</v>
      </c>
      <c r="AA79" s="541">
        <f t="shared" si="125"/>
        <v>1.0935525026034376E-3</v>
      </c>
      <c r="AB79" s="360">
        <f t="shared" si="126"/>
        <v>1.1405363631830643</v>
      </c>
      <c r="AC79" s="360">
        <f t="shared" si="95"/>
        <v>7.8049391744571045E-3</v>
      </c>
      <c r="AD79" s="360">
        <f t="shared" si="96"/>
        <v>0.21876778131552377</v>
      </c>
      <c r="AE79" s="360">
        <f t="shared" si="97"/>
        <v>0.63444464999999983</v>
      </c>
      <c r="AF79" s="360">
        <f t="shared" si="98"/>
        <v>0</v>
      </c>
      <c r="AG79" s="360">
        <f t="shared" si="99"/>
        <v>0.86236350943746687</v>
      </c>
      <c r="AH79" s="360">
        <f t="shared" si="100"/>
        <v>2.6197509455076786</v>
      </c>
      <c r="AI79" s="360">
        <f t="shared" si="101"/>
        <v>1.7157737541220942E-2</v>
      </c>
      <c r="AJ79" s="360">
        <f t="shared" si="102"/>
        <v>0.11524799999999998</v>
      </c>
      <c r="AK79" s="360">
        <f t="shared" si="103"/>
        <v>0.13275195145868532</v>
      </c>
      <c r="AL79" s="360">
        <f t="shared" si="104"/>
        <v>0.11524799999999998</v>
      </c>
      <c r="AM79" s="360">
        <f t="shared" si="105"/>
        <v>1.8521999999999996</v>
      </c>
      <c r="AN79" s="360">
        <f t="shared" si="106"/>
        <v>8.1639182122312276E-2</v>
      </c>
      <c r="AO79" s="360">
        <f t="shared" si="107"/>
        <v>7.3499999999999998E-4</v>
      </c>
      <c r="AP79" s="360">
        <f t="shared" si="108"/>
        <v>0.34650000000000003</v>
      </c>
      <c r="AQ79" s="360">
        <f t="shared" si="109"/>
        <v>1.3167</v>
      </c>
      <c r="AR79" s="360">
        <f t="shared" si="110"/>
        <v>1.1088</v>
      </c>
      <c r="AS79" s="360">
        <f t="shared" si="133"/>
        <v>0.34723500000000002</v>
      </c>
      <c r="AT79" s="360">
        <f t="shared" si="111"/>
        <v>3.7351152386969737</v>
      </c>
      <c r="AU79">
        <f t="shared" si="112"/>
        <v>9.2399999999999984</v>
      </c>
      <c r="AV79" s="542">
        <f t="shared" si="127"/>
        <v>0.71213240345200413</v>
      </c>
      <c r="AW79" s="551">
        <f t="shared" si="113"/>
        <v>104.24077547187333</v>
      </c>
      <c r="AX79" s="551">
        <f t="shared" si="114"/>
        <v>28.271162155430041</v>
      </c>
      <c r="AY79" s="9"/>
      <c r="AZ79" s="4">
        <f t="shared" si="128"/>
        <v>71.213240345200418</v>
      </c>
      <c r="BA79" s="360">
        <f t="shared" si="115"/>
        <v>0.34193620675144387</v>
      </c>
      <c r="BB79" s="360">
        <f t="shared" si="129"/>
        <v>2.847315460896152</v>
      </c>
      <c r="BC79" s="360">
        <f t="shared" si="130"/>
        <v>2.0848155094374667</v>
      </c>
      <c r="BD79" s="360">
        <f t="shared" si="131"/>
        <v>0.74397795145868528</v>
      </c>
      <c r="BE79" s="360">
        <f t="shared" si="132"/>
        <v>8.1639182122312276E-2</v>
      </c>
      <c r="BK79" s="18"/>
      <c r="BL79" s="19"/>
    </row>
    <row r="80" spans="1:64" x14ac:dyDescent="0.2">
      <c r="A80" s="34" t="s">
        <v>45</v>
      </c>
      <c r="B80" s="605">
        <f>SUM(B77:B79)</f>
        <v>0.19630491724446431</v>
      </c>
      <c r="C80" s="21" t="s">
        <v>1</v>
      </c>
      <c r="G80">
        <v>71</v>
      </c>
      <c r="H80" s="548">
        <f t="shared" si="85"/>
        <v>21</v>
      </c>
      <c r="I80" s="4">
        <f t="shared" si="86"/>
        <v>1</v>
      </c>
      <c r="J80" s="360">
        <f t="shared" si="116"/>
        <v>2.84</v>
      </c>
      <c r="K80" s="360">
        <f t="shared" si="87"/>
        <v>2.84</v>
      </c>
      <c r="L80" s="4">
        <f t="shared" si="88"/>
        <v>0.4958730158730158</v>
      </c>
      <c r="M80" s="360">
        <f t="shared" si="89"/>
        <v>0.15936943049110161</v>
      </c>
      <c r="N80" s="4">
        <f t="shared" si="90"/>
        <v>1.9718909094425463</v>
      </c>
      <c r="O80" s="4">
        <f t="shared" si="117"/>
        <v>3.825945454721273</v>
      </c>
      <c r="P80" s="4">
        <f t="shared" si="118"/>
        <v>1.8540545452787267</v>
      </c>
      <c r="Q80" s="4">
        <f t="shared" si="91"/>
        <v>0</v>
      </c>
      <c r="R80" s="4">
        <f t="shared" si="119"/>
        <v>2.8964857120129524</v>
      </c>
      <c r="S80" s="360">
        <f t="shared" si="92"/>
        <v>4.1948147399475895E-2</v>
      </c>
      <c r="T80" s="360">
        <f t="shared" si="93"/>
        <v>0.3</v>
      </c>
      <c r="U80" s="360">
        <f t="shared" si="94"/>
        <v>0.34309953860090975</v>
      </c>
      <c r="V80" s="4">
        <f t="shared" si="120"/>
        <v>0.56923587368961504</v>
      </c>
      <c r="W80" s="360">
        <f t="shared" si="121"/>
        <v>6.4805895979035881E-4</v>
      </c>
      <c r="X80" s="360">
        <f t="shared" si="122"/>
        <v>6.4805895979035881E-4</v>
      </c>
      <c r="Y80" s="4">
        <f t="shared" si="123"/>
        <v>1.0601723916152248</v>
      </c>
      <c r="Z80" s="360">
        <f t="shared" si="124"/>
        <v>1.1239654999431457E-3</v>
      </c>
      <c r="AA80" s="541">
        <f t="shared" si="125"/>
        <v>1.1239654999431457E-3</v>
      </c>
      <c r="AB80" s="360">
        <f t="shared" si="126"/>
        <v>1.1563089864920413</v>
      </c>
      <c r="AC80" s="360">
        <f t="shared" si="95"/>
        <v>8.0223028334535096E-3</v>
      </c>
      <c r="AD80" s="360">
        <f t="shared" si="96"/>
        <v>0.22189303533431698</v>
      </c>
      <c r="AE80" s="360">
        <f t="shared" si="97"/>
        <v>0.63444464999999983</v>
      </c>
      <c r="AF80" s="360">
        <f t="shared" si="98"/>
        <v>0</v>
      </c>
      <c r="AG80" s="360">
        <f t="shared" si="99"/>
        <v>0.86574904837654043</v>
      </c>
      <c r="AH80" s="360">
        <f t="shared" si="100"/>
        <v>2.655669220300775</v>
      </c>
      <c r="AI80" s="360">
        <f t="shared" si="101"/>
        <v>1.7631447519132315E-2</v>
      </c>
      <c r="AJ80" s="360">
        <f t="shared" si="102"/>
        <v>0.11689439999999998</v>
      </c>
      <c r="AK80" s="360">
        <f t="shared" si="103"/>
        <v>0.13488734290345672</v>
      </c>
      <c r="AL80" s="360">
        <f t="shared" si="104"/>
        <v>0.11689439999999998</v>
      </c>
      <c r="AM80" s="360">
        <f t="shared" si="105"/>
        <v>1.8786599999999996</v>
      </c>
      <c r="AN80" s="360">
        <f t="shared" si="106"/>
        <v>8.389629479895179E-2</v>
      </c>
      <c r="AO80" s="360">
        <f t="shared" si="107"/>
        <v>7.3499999999999998E-4</v>
      </c>
      <c r="AP80" s="360">
        <f t="shared" si="108"/>
        <v>0.34650000000000003</v>
      </c>
      <c r="AQ80" s="360">
        <f t="shared" si="109"/>
        <v>1.3167</v>
      </c>
      <c r="AR80" s="360">
        <f t="shared" si="110"/>
        <v>1.1088</v>
      </c>
      <c r="AS80" s="360">
        <f t="shared" si="133"/>
        <v>0.34723500000000002</v>
      </c>
      <c r="AT80" s="360">
        <f t="shared" si="111"/>
        <v>3.7721936491395915</v>
      </c>
      <c r="AU80">
        <f t="shared" si="112"/>
        <v>9.3719999999999999</v>
      </c>
      <c r="AV80" s="542">
        <f t="shared" si="127"/>
        <v>0.71301444958652782</v>
      </c>
      <c r="AW80" s="551">
        <f t="shared" si="113"/>
        <v>105.283232418827</v>
      </c>
      <c r="AX80" s="551">
        <f t="shared" si="114"/>
        <v>28.684115430331353</v>
      </c>
      <c r="AY80" s="9"/>
      <c r="AZ80" s="4">
        <f t="shared" si="128"/>
        <v>71.30144495865278</v>
      </c>
      <c r="BA80" s="360">
        <f t="shared" si="115"/>
        <v>0.34309953860090975</v>
      </c>
      <c r="BB80" s="360">
        <f t="shared" si="129"/>
        <v>2.8792963912799969</v>
      </c>
      <c r="BC80" s="360">
        <f t="shared" si="130"/>
        <v>2.10566464837654</v>
      </c>
      <c r="BD80" s="360">
        <f t="shared" si="131"/>
        <v>0.75484514290345661</v>
      </c>
      <c r="BE80" s="360">
        <f t="shared" si="132"/>
        <v>8.389629479895179E-2</v>
      </c>
      <c r="BK80" s="18"/>
      <c r="BL80" s="19"/>
    </row>
    <row r="81" spans="1:64" x14ac:dyDescent="0.2">
      <c r="A81" s="2"/>
      <c r="G81">
        <v>72</v>
      </c>
      <c r="H81" s="548">
        <f t="shared" si="85"/>
        <v>21</v>
      </c>
      <c r="I81" s="4">
        <f t="shared" si="86"/>
        <v>1</v>
      </c>
      <c r="J81" s="360">
        <f t="shared" si="116"/>
        <v>2.88</v>
      </c>
      <c r="K81" s="360">
        <f t="shared" si="87"/>
        <v>2.88</v>
      </c>
      <c r="L81" s="4">
        <f t="shared" si="88"/>
        <v>0.50285714285714278</v>
      </c>
      <c r="M81" s="360">
        <f t="shared" si="89"/>
        <v>0.15940076274863549</v>
      </c>
      <c r="N81" s="4">
        <f t="shared" si="90"/>
        <v>1.9722294709292512</v>
      </c>
      <c r="O81" s="4">
        <f t="shared" si="117"/>
        <v>3.8661147354646257</v>
      </c>
      <c r="P81" s="4">
        <f t="shared" si="118"/>
        <v>1.8938852645353743</v>
      </c>
      <c r="Q81" s="4">
        <f t="shared" si="91"/>
        <v>0</v>
      </c>
      <c r="R81" s="4">
        <f t="shared" si="119"/>
        <v>2.9357351306217705</v>
      </c>
      <c r="S81" s="360">
        <f t="shared" si="92"/>
        <v>4.3092703785834123E-2</v>
      </c>
      <c r="T81" s="360">
        <f t="shared" si="93"/>
        <v>0.3</v>
      </c>
      <c r="U81" s="360">
        <f t="shared" si="94"/>
        <v>0.34427957881859744</v>
      </c>
      <c r="V81" s="4">
        <f t="shared" si="120"/>
        <v>0.56933360797235821</v>
      </c>
      <c r="W81" s="360">
        <f t="shared" si="121"/>
        <v>6.4828151433364578E-4</v>
      </c>
      <c r="X81" s="360">
        <f t="shared" si="122"/>
        <v>6.4828151433364578E-4</v>
      </c>
      <c r="Y81" s="4">
        <f t="shared" si="123"/>
        <v>1.0746240684600752</v>
      </c>
      <c r="Z81" s="360">
        <f t="shared" si="124"/>
        <v>1.1548168885136844E-3</v>
      </c>
      <c r="AA81" s="541">
        <f t="shared" si="125"/>
        <v>1.1548168885136844E-3</v>
      </c>
      <c r="AB81" s="360">
        <f t="shared" si="126"/>
        <v>1.1720929871271282</v>
      </c>
      <c r="AC81" s="360">
        <f t="shared" si="95"/>
        <v>8.2428118228355662E-3</v>
      </c>
      <c r="AD81" s="360">
        <f t="shared" si="96"/>
        <v>0.22501828935311016</v>
      </c>
      <c r="AE81" s="360">
        <f t="shared" si="97"/>
        <v>0.63444464999999983</v>
      </c>
      <c r="AF81" s="360">
        <f t="shared" si="98"/>
        <v>0</v>
      </c>
      <c r="AG81" s="360">
        <f t="shared" si="99"/>
        <v>0.86913858032906943</v>
      </c>
      <c r="AH81" s="360">
        <f t="shared" si="100"/>
        <v>2.6916052434735356</v>
      </c>
      <c r="AI81" s="360">
        <f t="shared" si="101"/>
        <v>1.8111846966735578E-2</v>
      </c>
      <c r="AJ81" s="360">
        <f t="shared" si="102"/>
        <v>0.11854079999999999</v>
      </c>
      <c r="AK81" s="360">
        <f t="shared" si="103"/>
        <v>0.13702989035614341</v>
      </c>
      <c r="AL81" s="360">
        <f t="shared" si="104"/>
        <v>0.11854079999999999</v>
      </c>
      <c r="AM81" s="360">
        <f t="shared" si="105"/>
        <v>1.9051199999999999</v>
      </c>
      <c r="AN81" s="360">
        <f t="shared" si="106"/>
        <v>8.6185407571668246E-2</v>
      </c>
      <c r="AO81" s="360">
        <f t="shared" si="107"/>
        <v>7.3499999999999998E-4</v>
      </c>
      <c r="AP81" s="360">
        <f t="shared" si="108"/>
        <v>0.34650000000000003</v>
      </c>
      <c r="AQ81" s="360">
        <f t="shared" si="109"/>
        <v>1.3167</v>
      </c>
      <c r="AR81" s="360">
        <f t="shared" si="110"/>
        <v>1.1088</v>
      </c>
      <c r="AS81" s="360">
        <f t="shared" si="133"/>
        <v>0.34723500000000002</v>
      </c>
      <c r="AT81" s="360">
        <f t="shared" si="111"/>
        <v>3.8093323554783258</v>
      </c>
      <c r="AU81">
        <f t="shared" si="112"/>
        <v>9.5039999999999996</v>
      </c>
      <c r="AV81" s="542">
        <f t="shared" si="127"/>
        <v>0.71387085864262845</v>
      </c>
      <c r="AW81" s="551">
        <f t="shared" si="113"/>
        <v>106.32588901645347</v>
      </c>
      <c r="AX81" s="551">
        <f t="shared" si="114"/>
        <v>29.097340633533449</v>
      </c>
      <c r="AY81" s="9"/>
      <c r="AZ81" s="4">
        <f t="shared" si="128"/>
        <v>71.387085864262843</v>
      </c>
      <c r="BA81" s="360">
        <f t="shared" si="115"/>
        <v>0.34427957881859744</v>
      </c>
      <c r="BB81" s="360">
        <f t="shared" si="129"/>
        <v>2.9112884706852125</v>
      </c>
      <c r="BC81" s="360">
        <f t="shared" si="130"/>
        <v>2.1265177803290696</v>
      </c>
      <c r="BD81" s="360">
        <f t="shared" si="131"/>
        <v>0.7657194903561434</v>
      </c>
      <c r="BE81" s="360">
        <f t="shared" si="132"/>
        <v>8.6185407571668246E-2</v>
      </c>
      <c r="BK81" s="18"/>
      <c r="BL81" s="19"/>
    </row>
    <row r="82" spans="1:64" x14ac:dyDescent="0.2">
      <c r="A82" s="2"/>
      <c r="G82">
        <v>73</v>
      </c>
      <c r="H82" s="548">
        <f t="shared" si="85"/>
        <v>21</v>
      </c>
      <c r="I82" s="4">
        <f t="shared" si="86"/>
        <v>1</v>
      </c>
      <c r="J82" s="360">
        <f t="shared" si="116"/>
        <v>2.92</v>
      </c>
      <c r="K82" s="360">
        <f t="shared" si="87"/>
        <v>2.92</v>
      </c>
      <c r="L82" s="4">
        <f t="shared" si="88"/>
        <v>0.50984126984126976</v>
      </c>
      <c r="M82" s="360">
        <f t="shared" si="89"/>
        <v>0.15943209423102359</v>
      </c>
      <c r="N82" s="4">
        <f t="shared" si="90"/>
        <v>1.9725680035170985</v>
      </c>
      <c r="O82" s="4">
        <f t="shared" si="117"/>
        <v>3.9062840017585492</v>
      </c>
      <c r="P82" s="4">
        <f t="shared" si="118"/>
        <v>1.9337159982414507</v>
      </c>
      <c r="Q82" s="4">
        <f t="shared" si="91"/>
        <v>0</v>
      </c>
      <c r="R82" s="4">
        <f t="shared" si="119"/>
        <v>2.9750045452136065</v>
      </c>
      <c r="S82" s="360">
        <f t="shared" si="92"/>
        <v>4.4253260220208084E-2</v>
      </c>
      <c r="T82" s="360">
        <f t="shared" si="93"/>
        <v>0.3</v>
      </c>
      <c r="U82" s="360">
        <f t="shared" si="94"/>
        <v>0.34547633655793786</v>
      </c>
      <c r="V82" s="4">
        <f t="shared" si="120"/>
        <v>0.56943133391271972</v>
      </c>
      <c r="W82" s="360">
        <f t="shared" si="121"/>
        <v>6.4850408808323856E-4</v>
      </c>
      <c r="X82" s="360">
        <f t="shared" si="122"/>
        <v>6.4850408808323856E-4</v>
      </c>
      <c r="Y82" s="4">
        <f t="shared" si="123"/>
        <v>1.0890853371120055</v>
      </c>
      <c r="Z82" s="360">
        <f t="shared" si="124"/>
        <v>1.1861068715123707E-3</v>
      </c>
      <c r="AA82" s="541">
        <f t="shared" si="125"/>
        <v>1.1861068715123707E-3</v>
      </c>
      <c r="AB82" s="360">
        <f t="shared" si="126"/>
        <v>1.1878880379445045</v>
      </c>
      <c r="AC82" s="360">
        <f t="shared" si="95"/>
        <v>8.466467944149866E-3</v>
      </c>
      <c r="AD82" s="360">
        <f t="shared" si="96"/>
        <v>0.22814354337190337</v>
      </c>
      <c r="AE82" s="360">
        <f t="shared" si="97"/>
        <v>0.63444464999999983</v>
      </c>
      <c r="AF82" s="360">
        <f t="shared" si="98"/>
        <v>0</v>
      </c>
      <c r="AG82" s="360">
        <f t="shared" si="99"/>
        <v>0.87253211435133238</v>
      </c>
      <c r="AH82" s="360">
        <f t="shared" si="100"/>
        <v>2.7275582584703804</v>
      </c>
      <c r="AI82" s="360">
        <f t="shared" si="101"/>
        <v>1.8598935133374937E-2</v>
      </c>
      <c r="AJ82" s="360">
        <f t="shared" si="102"/>
        <v>0.12018719999999998</v>
      </c>
      <c r="AK82" s="360">
        <f t="shared" si="103"/>
        <v>0.1391796011742425</v>
      </c>
      <c r="AL82" s="360">
        <f t="shared" si="104"/>
        <v>0.12018719999999998</v>
      </c>
      <c r="AM82" s="360">
        <f t="shared" si="105"/>
        <v>1.9315799999999999</v>
      </c>
      <c r="AN82" s="360">
        <f t="shared" si="106"/>
        <v>8.8506520440416167E-2</v>
      </c>
      <c r="AO82" s="360">
        <f t="shared" si="107"/>
        <v>7.3499999999999998E-4</v>
      </c>
      <c r="AP82" s="360">
        <f t="shared" si="108"/>
        <v>0.34650000000000003</v>
      </c>
      <c r="AQ82" s="360">
        <f t="shared" si="109"/>
        <v>1.3167</v>
      </c>
      <c r="AR82" s="360">
        <f t="shared" si="110"/>
        <v>1.1088</v>
      </c>
      <c r="AS82" s="360">
        <f t="shared" si="133"/>
        <v>0.34723500000000002</v>
      </c>
      <c r="AT82" s="360">
        <f t="shared" si="111"/>
        <v>3.8465313834835246</v>
      </c>
      <c r="AU82">
        <f t="shared" si="112"/>
        <v>9.6359999999999992</v>
      </c>
      <c r="AV82" s="542">
        <f t="shared" si="127"/>
        <v>0.71470258261770991</v>
      </c>
      <c r="AW82" s="551">
        <f t="shared" si="113"/>
        <v>107.36874571756663</v>
      </c>
      <c r="AX82" s="551">
        <f t="shared" si="114"/>
        <v>29.510838044621217</v>
      </c>
      <c r="AY82" s="9"/>
      <c r="AZ82" s="4">
        <f t="shared" si="128"/>
        <v>71.470258261770994</v>
      </c>
      <c r="BA82" s="360">
        <f t="shared" si="115"/>
        <v>0.34547633655793786</v>
      </c>
      <c r="BB82" s="360">
        <f t="shared" si="129"/>
        <v>2.9432917155255747</v>
      </c>
      <c r="BC82" s="360">
        <f t="shared" si="130"/>
        <v>2.1473749143513325</v>
      </c>
      <c r="BD82" s="360">
        <f t="shared" si="131"/>
        <v>0.77660100117424258</v>
      </c>
      <c r="BE82" s="360">
        <f t="shared" si="132"/>
        <v>8.8506520440416167E-2</v>
      </c>
      <c r="BK82" s="18"/>
      <c r="BL82" s="19"/>
    </row>
    <row r="83" spans="1:64" x14ac:dyDescent="0.2">
      <c r="A83" s="2"/>
      <c r="G83">
        <v>74</v>
      </c>
      <c r="H83" s="548">
        <f t="shared" si="85"/>
        <v>21</v>
      </c>
      <c r="I83" s="4">
        <f t="shared" si="86"/>
        <v>1</v>
      </c>
      <c r="J83" s="360">
        <f t="shared" si="116"/>
        <v>2.96</v>
      </c>
      <c r="K83" s="360">
        <f t="shared" si="87"/>
        <v>2.96</v>
      </c>
      <c r="L83" s="4">
        <f t="shared" si="88"/>
        <v>0.51682539682539674</v>
      </c>
      <c r="M83" s="360">
        <f t="shared" si="89"/>
        <v>0.15946342493829463</v>
      </c>
      <c r="N83" s="4">
        <f t="shared" si="90"/>
        <v>1.9729065072071592</v>
      </c>
      <c r="O83" s="4">
        <f t="shared" si="117"/>
        <v>3.9464532536035795</v>
      </c>
      <c r="P83" s="4">
        <f t="shared" si="118"/>
        <v>1.9735467463964205</v>
      </c>
      <c r="Q83" s="4">
        <f t="shared" si="91"/>
        <v>0</v>
      </c>
      <c r="R83" s="4">
        <f t="shared" si="119"/>
        <v>3.0142931742806685</v>
      </c>
      <c r="S83" s="360">
        <f t="shared" si="92"/>
        <v>4.5429816702575149E-2</v>
      </c>
      <c r="T83" s="360">
        <f t="shared" si="93"/>
        <v>0.3</v>
      </c>
      <c r="U83" s="360">
        <f t="shared" si="94"/>
        <v>0.34668982110460955</v>
      </c>
      <c r="V83" s="4">
        <f t="shared" si="120"/>
        <v>0.56952905151100885</v>
      </c>
      <c r="W83" s="360">
        <f t="shared" si="121"/>
        <v>6.487266810300587E-4</v>
      </c>
      <c r="X83" s="360">
        <f t="shared" si="122"/>
        <v>6.487266810300587E-4</v>
      </c>
      <c r="Y83" s="4">
        <f t="shared" si="123"/>
        <v>1.1035559125340415</v>
      </c>
      <c r="Z83" s="360">
        <f t="shared" si="124"/>
        <v>1.2178356520888413E-3</v>
      </c>
      <c r="AA83" s="541">
        <f t="shared" si="125"/>
        <v>1.2178356520888413E-3</v>
      </c>
      <c r="AB83" s="360">
        <f t="shared" si="126"/>
        <v>1.2036938286550758</v>
      </c>
      <c r="AC83" s="360">
        <f t="shared" si="95"/>
        <v>8.6932729988538904E-3</v>
      </c>
      <c r="AD83" s="360">
        <f t="shared" si="96"/>
        <v>0.23126879739069656</v>
      </c>
      <c r="AE83" s="360">
        <f t="shared" si="97"/>
        <v>0.63444464999999983</v>
      </c>
      <c r="AF83" s="360">
        <f t="shared" si="98"/>
        <v>0</v>
      </c>
      <c r="AG83" s="360">
        <f t="shared" si="99"/>
        <v>0.87592965952115243</v>
      </c>
      <c r="AH83" s="360">
        <f t="shared" si="100"/>
        <v>2.7635275477861105</v>
      </c>
      <c r="AI83" s="360">
        <f t="shared" si="101"/>
        <v>1.9092711268431786E-2</v>
      </c>
      <c r="AJ83" s="360">
        <f t="shared" si="102"/>
        <v>0.12183359999999999</v>
      </c>
      <c r="AK83" s="360">
        <f t="shared" si="103"/>
        <v>0.14133648276030158</v>
      </c>
      <c r="AL83" s="360">
        <f t="shared" si="104"/>
        <v>0.12183359999999999</v>
      </c>
      <c r="AM83" s="360">
        <f t="shared" si="105"/>
        <v>1.9580399999999998</v>
      </c>
      <c r="AN83" s="360">
        <f t="shared" si="106"/>
        <v>9.0859633405150297E-2</v>
      </c>
      <c r="AO83" s="360">
        <f t="shared" si="107"/>
        <v>7.3499999999999998E-4</v>
      </c>
      <c r="AP83" s="360">
        <f t="shared" si="108"/>
        <v>0.34650000000000003</v>
      </c>
      <c r="AQ83" s="360">
        <f t="shared" si="109"/>
        <v>1.3167</v>
      </c>
      <c r="AR83" s="360">
        <f t="shared" si="110"/>
        <v>1.1088</v>
      </c>
      <c r="AS83" s="360">
        <f t="shared" si="133"/>
        <v>0.34723500000000002</v>
      </c>
      <c r="AT83" s="360">
        <f t="shared" si="111"/>
        <v>3.8837907591243326</v>
      </c>
      <c r="AU83">
        <f t="shared" si="112"/>
        <v>9.7679999999999989</v>
      </c>
      <c r="AV83" s="542">
        <f t="shared" si="127"/>
        <v>0.71551052695936201</v>
      </c>
      <c r="AW83" s="551">
        <f t="shared" si="113"/>
        <v>108.41180297605761</v>
      </c>
      <c r="AX83" s="551">
        <f t="shared" si="114"/>
        <v>29.924607944891456</v>
      </c>
      <c r="AY83" s="9"/>
      <c r="AZ83" s="4">
        <f t="shared" si="128"/>
        <v>71.551052695936207</v>
      </c>
      <c r="BA83" s="360">
        <f t="shared" si="115"/>
        <v>0.34668982110460955</v>
      </c>
      <c r="BB83" s="360">
        <f t="shared" si="129"/>
        <v>2.975306142281454</v>
      </c>
      <c r="BC83" s="360">
        <f t="shared" si="130"/>
        <v>2.1682360595211523</v>
      </c>
      <c r="BD83" s="360">
        <f t="shared" si="131"/>
        <v>0.78748968276030151</v>
      </c>
      <c r="BE83" s="360">
        <f t="shared" si="132"/>
        <v>9.0859633405150297E-2</v>
      </c>
      <c r="BK83" s="18"/>
      <c r="BL83" s="19"/>
    </row>
    <row r="84" spans="1:64" x14ac:dyDescent="0.2">
      <c r="G84">
        <v>75</v>
      </c>
      <c r="H84" s="548">
        <f t="shared" si="85"/>
        <v>21</v>
      </c>
      <c r="I84" s="4">
        <f t="shared" si="86"/>
        <v>1</v>
      </c>
      <c r="J84" s="360">
        <f t="shared" si="116"/>
        <v>3</v>
      </c>
      <c r="K84" s="360">
        <f t="shared" si="87"/>
        <v>3</v>
      </c>
      <c r="L84" s="4">
        <f t="shared" si="88"/>
        <v>0.52380952380952372</v>
      </c>
      <c r="M84" s="360">
        <f t="shared" si="89"/>
        <v>0.1594947548704774</v>
      </c>
      <c r="N84" s="4">
        <f t="shared" si="90"/>
        <v>1.9732449820005069</v>
      </c>
      <c r="O84" s="4">
        <f t="shared" si="117"/>
        <v>3.9866224910002535</v>
      </c>
      <c r="P84" s="4">
        <f t="shared" si="118"/>
        <v>2.0133775089997465</v>
      </c>
      <c r="Q84" s="4">
        <f t="shared" si="91"/>
        <v>0</v>
      </c>
      <c r="R84" s="4">
        <f t="shared" si="119"/>
        <v>3.0536002761629617</v>
      </c>
      <c r="S84" s="360">
        <f t="shared" si="92"/>
        <v>4.662237323291258E-2</v>
      </c>
      <c r="T84" s="360">
        <f t="shared" si="93"/>
        <v>0.3</v>
      </c>
      <c r="U84" s="360">
        <f t="shared" si="94"/>
        <v>0.34792004187671954</v>
      </c>
      <c r="V84" s="4">
        <f t="shared" si="120"/>
        <v>0.56962676076753549</v>
      </c>
      <c r="W84" s="360">
        <f t="shared" si="121"/>
        <v>6.4894929316503024E-4</v>
      </c>
      <c r="X84" s="360">
        <f t="shared" si="122"/>
        <v>6.4894929316503024E-4</v>
      </c>
      <c r="Y84" s="4">
        <f t="shared" si="123"/>
        <v>1.1180355241874262</v>
      </c>
      <c r="Z84" s="360">
        <f t="shared" si="124"/>
        <v>1.2500034333450529E-3</v>
      </c>
      <c r="AA84" s="541">
        <f t="shared" si="125"/>
        <v>1.2500034333450529E-3</v>
      </c>
      <c r="AB84" s="360">
        <f t="shared" si="126"/>
        <v>1.2195100647607053</v>
      </c>
      <c r="AC84" s="360">
        <f t="shared" si="95"/>
        <v>8.9232287883159577E-3</v>
      </c>
      <c r="AD84" s="360">
        <f t="shared" si="96"/>
        <v>0.23439405140948977</v>
      </c>
      <c r="AE84" s="360">
        <f t="shared" si="97"/>
        <v>0.63444464999999983</v>
      </c>
      <c r="AF84" s="360">
        <f t="shared" si="98"/>
        <v>0</v>
      </c>
      <c r="AG84" s="360">
        <f t="shared" si="99"/>
        <v>0.87933122493797189</v>
      </c>
      <c r="AH84" s="360">
        <f t="shared" si="100"/>
        <v>2.7995124305010428</v>
      </c>
      <c r="AI84" s="360">
        <f t="shared" si="101"/>
        <v>1.9593174621324642E-2</v>
      </c>
      <c r="AJ84" s="360">
        <f t="shared" si="102"/>
        <v>0.12347999999999998</v>
      </c>
      <c r="AK84" s="360">
        <f t="shared" si="103"/>
        <v>0.14350054256200279</v>
      </c>
      <c r="AL84" s="360">
        <f t="shared" si="104"/>
        <v>0.12347999999999998</v>
      </c>
      <c r="AM84" s="360">
        <f t="shared" si="105"/>
        <v>1.9844999999999997</v>
      </c>
      <c r="AN84" s="360">
        <f t="shared" si="106"/>
        <v>9.324474646582516E-2</v>
      </c>
      <c r="AO84" s="360">
        <f t="shared" si="107"/>
        <v>7.3499999999999998E-4</v>
      </c>
      <c r="AP84" s="360">
        <f t="shared" si="108"/>
        <v>0.34650000000000003</v>
      </c>
      <c r="AQ84" s="360">
        <f t="shared" si="109"/>
        <v>1.3167</v>
      </c>
      <c r="AR84" s="360">
        <f t="shared" si="110"/>
        <v>1.1088</v>
      </c>
      <c r="AS84" s="360">
        <f t="shared" si="133"/>
        <v>0.34723500000000002</v>
      </c>
      <c r="AT84" s="360">
        <f t="shared" si="111"/>
        <v>3.9211105085690292</v>
      </c>
      <c r="AU84">
        <f t="shared" si="112"/>
        <v>9.8999999999999986</v>
      </c>
      <c r="AV84" s="542">
        <f t="shared" si="127"/>
        <v>0.71629555337554407</v>
      </c>
      <c r="AW84" s="551">
        <f t="shared" si="113"/>
        <v>109.45506124689859</v>
      </c>
      <c r="AX84" s="551">
        <f t="shared" si="114"/>
        <v>30.338650617356105</v>
      </c>
      <c r="AY84" s="9"/>
      <c r="AZ84" s="4">
        <f t="shared" si="128"/>
        <v>71.629555337554407</v>
      </c>
      <c r="BA84" s="360">
        <f t="shared" si="115"/>
        <v>0.34792004187671954</v>
      </c>
      <c r="BB84" s="360">
        <f t="shared" si="129"/>
        <v>3.0073317674999744</v>
      </c>
      <c r="BC84" s="360">
        <f t="shared" si="130"/>
        <v>2.1891012249379718</v>
      </c>
      <c r="BD84" s="360">
        <f t="shared" si="131"/>
        <v>0.79838554256200278</v>
      </c>
      <c r="BE84" s="360">
        <f t="shared" si="132"/>
        <v>9.324474646582516E-2</v>
      </c>
      <c r="BK84" s="18"/>
      <c r="BL84" s="19"/>
    </row>
    <row r="85" spans="1:64" x14ac:dyDescent="0.2">
      <c r="G85">
        <v>76</v>
      </c>
      <c r="H85" s="548">
        <f t="shared" si="85"/>
        <v>21</v>
      </c>
      <c r="I85" s="4">
        <f t="shared" si="86"/>
        <v>1</v>
      </c>
      <c r="J85" s="360">
        <f t="shared" si="116"/>
        <v>3.04</v>
      </c>
      <c r="K85" s="360">
        <f t="shared" si="87"/>
        <v>3.04</v>
      </c>
      <c r="L85" s="4">
        <f t="shared" si="88"/>
        <v>0.53079365079365071</v>
      </c>
      <c r="M85" s="360">
        <f t="shared" si="89"/>
        <v>0.15952608402760068</v>
      </c>
      <c r="N85" s="4">
        <f t="shared" si="90"/>
        <v>1.9735834278982136</v>
      </c>
      <c r="O85" s="4">
        <f t="shared" si="117"/>
        <v>4.0267917139491072</v>
      </c>
      <c r="P85" s="4">
        <f t="shared" si="118"/>
        <v>2.0532082860508933</v>
      </c>
      <c r="Q85" s="4">
        <f t="shared" si="91"/>
        <v>0</v>
      </c>
      <c r="R85" s="4">
        <f t="shared" si="119"/>
        <v>3.0929251465626417</v>
      </c>
      <c r="S85" s="360">
        <f t="shared" si="92"/>
        <v>4.7830929811197694E-2</v>
      </c>
      <c r="T85" s="360">
        <f t="shared" si="93"/>
        <v>0.3</v>
      </c>
      <c r="U85" s="360">
        <f t="shared" si="94"/>
        <v>0.3491670084249866</v>
      </c>
      <c r="V85" s="4">
        <f t="shared" si="120"/>
        <v>0.56972446168260904</v>
      </c>
      <c r="W85" s="360">
        <f t="shared" si="121"/>
        <v>6.4917192447907731E-4</v>
      </c>
      <c r="X85" s="360">
        <f t="shared" si="122"/>
        <v>6.4917192447907731E-4</v>
      </c>
      <c r="Y85" s="4">
        <f t="shared" si="123"/>
        <v>1.1325239151273097</v>
      </c>
      <c r="Z85" s="360">
        <f t="shared" si="124"/>
        <v>1.2826104183352898E-3</v>
      </c>
      <c r="AA85" s="541">
        <f t="shared" si="125"/>
        <v>1.2826104183352898E-3</v>
      </c>
      <c r="AB85" s="360">
        <f t="shared" si="126"/>
        <v>1.2353364665692821</v>
      </c>
      <c r="AC85" s="360">
        <f t="shared" si="95"/>
        <v>9.1563371138152737E-3</v>
      </c>
      <c r="AD85" s="360">
        <f t="shared" si="96"/>
        <v>0.23751930542828295</v>
      </c>
      <c r="AE85" s="360">
        <f t="shared" si="97"/>
        <v>0.63444464999999983</v>
      </c>
      <c r="AF85" s="360">
        <f t="shared" si="98"/>
        <v>0</v>
      </c>
      <c r="AG85" s="360">
        <f t="shared" si="99"/>
        <v>0.88273681972293006</v>
      </c>
      <c r="AH85" s="360">
        <f t="shared" si="100"/>
        <v>2.8355122599988278</v>
      </c>
      <c r="AI85" s="360">
        <f t="shared" si="101"/>
        <v>2.0100324441509151E-2</v>
      </c>
      <c r="AJ85" s="360">
        <f t="shared" si="102"/>
        <v>0.1251264</v>
      </c>
      <c r="AK85" s="360">
        <f t="shared" si="103"/>
        <v>0.14567178807224762</v>
      </c>
      <c r="AL85" s="360">
        <f t="shared" si="104"/>
        <v>0.1251264</v>
      </c>
      <c r="AM85" s="360">
        <f t="shared" si="105"/>
        <v>2.0109599999999999</v>
      </c>
      <c r="AN85" s="360">
        <f t="shared" si="106"/>
        <v>9.5661859622395387E-2</v>
      </c>
      <c r="AO85" s="360">
        <f t="shared" si="107"/>
        <v>7.3499999999999998E-4</v>
      </c>
      <c r="AP85" s="360">
        <f t="shared" si="108"/>
        <v>0.34650000000000003</v>
      </c>
      <c r="AQ85" s="360">
        <f t="shared" si="109"/>
        <v>1.3167</v>
      </c>
      <c r="AR85" s="360">
        <f t="shared" si="110"/>
        <v>1.1088</v>
      </c>
      <c r="AS85" s="360">
        <f t="shared" si="133"/>
        <v>0.34723500000000002</v>
      </c>
      <c r="AT85" s="360">
        <f t="shared" si="111"/>
        <v>3.9584906581853736</v>
      </c>
      <c r="AU85">
        <f t="shared" si="112"/>
        <v>10.032</v>
      </c>
      <c r="AV85" s="542">
        <f t="shared" si="127"/>
        <v>0.7170584824436167</v>
      </c>
      <c r="AW85" s="551">
        <f t="shared" si="113"/>
        <v>110.4985209861465</v>
      </c>
      <c r="AX85" s="551">
        <f t="shared" si="114"/>
        <v>30.752966346745406</v>
      </c>
      <c r="AY85" s="9"/>
      <c r="AZ85" s="4">
        <f t="shared" si="128"/>
        <v>71.705848244361675</v>
      </c>
      <c r="BA85" s="360">
        <f t="shared" si="115"/>
        <v>0.3491670084249866</v>
      </c>
      <c r="BB85" s="360">
        <f t="shared" si="129"/>
        <v>3.0393686077951774</v>
      </c>
      <c r="BC85" s="360">
        <f t="shared" si="130"/>
        <v>2.20997041972293</v>
      </c>
      <c r="BD85" s="360">
        <f t="shared" si="131"/>
        <v>0.80928858807224757</v>
      </c>
      <c r="BE85" s="360">
        <f t="shared" si="132"/>
        <v>9.5661859622395387E-2</v>
      </c>
      <c r="BK85" s="18"/>
      <c r="BL85" s="19"/>
    </row>
    <row r="86" spans="1:64" x14ac:dyDescent="0.2">
      <c r="G86">
        <v>77</v>
      </c>
      <c r="H86" s="548">
        <f t="shared" si="85"/>
        <v>21</v>
      </c>
      <c r="I86" s="4">
        <f t="shared" si="86"/>
        <v>1</v>
      </c>
      <c r="J86" s="360">
        <f t="shared" si="116"/>
        <v>3.08</v>
      </c>
      <c r="K86" s="360">
        <f t="shared" si="87"/>
        <v>3.08</v>
      </c>
      <c r="L86" s="4">
        <f t="shared" si="88"/>
        <v>0.53777777777777769</v>
      </c>
      <c r="M86" s="360">
        <f t="shared" si="89"/>
        <v>0.15955741240969323</v>
      </c>
      <c r="N86" s="4">
        <f t="shared" si="90"/>
        <v>1.9739218449013509</v>
      </c>
      <c r="O86" s="4">
        <f t="shared" si="117"/>
        <v>4.0669609224506758</v>
      </c>
      <c r="P86" s="4">
        <f t="shared" si="118"/>
        <v>2.0930390775493244</v>
      </c>
      <c r="Q86" s="4">
        <f t="shared" si="91"/>
        <v>0</v>
      </c>
      <c r="R86" s="4">
        <f t="shared" si="119"/>
        <v>3.1322671162404974</v>
      </c>
      <c r="S86" s="360">
        <f t="shared" si="92"/>
        <v>4.9055486437407814E-2</v>
      </c>
      <c r="T86" s="360">
        <f t="shared" si="93"/>
        <v>0.3</v>
      </c>
      <c r="U86" s="360">
        <f t="shared" si="94"/>
        <v>0.35043073043292805</v>
      </c>
      <c r="V86" s="4">
        <f t="shared" si="120"/>
        <v>0.56982215425653882</v>
      </c>
      <c r="W86" s="360">
        <f t="shared" si="121"/>
        <v>6.4939457496312547E-4</v>
      </c>
      <c r="X86" s="360">
        <f t="shared" si="122"/>
        <v>6.4939457496312547E-4</v>
      </c>
      <c r="Y86" s="4">
        <f t="shared" si="123"/>
        <v>1.1470208411646972</v>
      </c>
      <c r="Z86" s="360">
        <f t="shared" si="124"/>
        <v>1.3156568100661694E-3</v>
      </c>
      <c r="AA86" s="541">
        <f t="shared" si="125"/>
        <v>1.3156568100661694E-3</v>
      </c>
      <c r="AB86" s="360">
        <f t="shared" si="126"/>
        <v>1.25117276828195</v>
      </c>
      <c r="AC86" s="360">
        <f t="shared" si="95"/>
        <v>9.3925997765419086E-3</v>
      </c>
      <c r="AD86" s="360">
        <f t="shared" si="96"/>
        <v>0.24064455944707616</v>
      </c>
      <c r="AE86" s="360">
        <f t="shared" si="97"/>
        <v>0.63444464999999983</v>
      </c>
      <c r="AF86" s="360">
        <f t="shared" si="98"/>
        <v>0</v>
      </c>
      <c r="AG86" s="360">
        <f t="shared" si="99"/>
        <v>0.88614645301893979</v>
      </c>
      <c r="AH86" s="360">
        <f t="shared" si="100"/>
        <v>2.8715264218514935</v>
      </c>
      <c r="AI86" s="360">
        <f t="shared" si="101"/>
        <v>2.0614159978478104E-2</v>
      </c>
      <c r="AJ86" s="360">
        <f t="shared" si="102"/>
        <v>0.12677279999999999</v>
      </c>
      <c r="AK86" s="360">
        <f t="shared" si="103"/>
        <v>0.14785022682924234</v>
      </c>
      <c r="AL86" s="360">
        <f t="shared" si="104"/>
        <v>0.12677279999999999</v>
      </c>
      <c r="AM86" s="360">
        <f t="shared" si="105"/>
        <v>2.03742</v>
      </c>
      <c r="AN86" s="360">
        <f t="shared" si="106"/>
        <v>9.8110972874815627E-2</v>
      </c>
      <c r="AO86" s="360">
        <f t="shared" si="107"/>
        <v>7.3499999999999998E-4</v>
      </c>
      <c r="AP86" s="360">
        <f t="shared" si="108"/>
        <v>0.34650000000000003</v>
      </c>
      <c r="AQ86" s="360">
        <f t="shared" si="109"/>
        <v>1.3167</v>
      </c>
      <c r="AR86" s="360">
        <f t="shared" si="110"/>
        <v>1.1088</v>
      </c>
      <c r="AS86" s="360">
        <f t="shared" si="133"/>
        <v>0.34723500000000002</v>
      </c>
      <c r="AT86" s="360">
        <f t="shared" si="111"/>
        <v>3.9959312345409548</v>
      </c>
      <c r="AU86">
        <f t="shared" si="112"/>
        <v>10.164</v>
      </c>
      <c r="AV86" s="542">
        <f t="shared" si="127"/>
        <v>0.71780009603482398</v>
      </c>
      <c r="AW86" s="551">
        <f t="shared" si="113"/>
        <v>111.542182650947</v>
      </c>
      <c r="AX86" s="551">
        <f t="shared" si="114"/>
        <v>31.16755541951121</v>
      </c>
      <c r="AY86" s="9"/>
      <c r="AZ86" s="4">
        <f t="shared" si="128"/>
        <v>71.780009603482398</v>
      </c>
      <c r="BA86" s="360">
        <f t="shared" si="115"/>
        <v>0.35043073043292805</v>
      </c>
      <c r="BB86" s="360">
        <f t="shared" si="129"/>
        <v>3.0714166798481823</v>
      </c>
      <c r="BC86" s="360">
        <f t="shared" si="130"/>
        <v>2.2308436530189399</v>
      </c>
      <c r="BD86" s="360">
        <f t="shared" si="131"/>
        <v>0.82019882682924239</v>
      </c>
      <c r="BE86" s="360">
        <f t="shared" si="132"/>
        <v>9.8110972874815627E-2</v>
      </c>
      <c r="BK86" s="18"/>
      <c r="BL86" s="19"/>
    </row>
    <row r="87" spans="1:64" x14ac:dyDescent="0.2">
      <c r="G87">
        <v>78</v>
      </c>
      <c r="H87" s="548">
        <f t="shared" si="85"/>
        <v>21</v>
      </c>
      <c r="I87" s="4">
        <f t="shared" si="86"/>
        <v>1</v>
      </c>
      <c r="J87" s="360">
        <f t="shared" si="116"/>
        <v>3.12</v>
      </c>
      <c r="K87" s="360">
        <f t="shared" si="87"/>
        <v>3.12</v>
      </c>
      <c r="L87" s="4">
        <f t="shared" si="88"/>
        <v>0.54476190476190467</v>
      </c>
      <c r="M87" s="360">
        <f t="shared" si="89"/>
        <v>0.1595887400167838</v>
      </c>
      <c r="N87" s="4">
        <f t="shared" si="90"/>
        <v>1.974260233010992</v>
      </c>
      <c r="O87" s="4">
        <f t="shared" si="117"/>
        <v>4.1071301165054965</v>
      </c>
      <c r="P87" s="4">
        <f t="shared" si="118"/>
        <v>2.1328698834945041</v>
      </c>
      <c r="Q87" s="4">
        <f t="shared" si="91"/>
        <v>0</v>
      </c>
      <c r="R87" s="4">
        <f t="shared" si="119"/>
        <v>3.1716255488793208</v>
      </c>
      <c r="S87" s="360">
        <f t="shared" si="92"/>
        <v>5.0296043111520271E-2</v>
      </c>
      <c r="T87" s="360">
        <f t="shared" si="93"/>
        <v>0.3</v>
      </c>
      <c r="U87" s="360">
        <f t="shared" si="94"/>
        <v>0.35171121771704839</v>
      </c>
      <c r="V87" s="4">
        <f t="shared" si="120"/>
        <v>0.56991983848963479</v>
      </c>
      <c r="W87" s="360">
        <f t="shared" si="121"/>
        <v>6.4961724460810277E-4</v>
      </c>
      <c r="X87" s="360">
        <f t="shared" si="122"/>
        <v>6.4961724460810277E-4</v>
      </c>
      <c r="Y87" s="4">
        <f t="shared" si="123"/>
        <v>1.161526070089109</v>
      </c>
      <c r="Z87" s="360">
        <f t="shared" si="124"/>
        <v>1.3491428114966498E-3</v>
      </c>
      <c r="AA87" s="541">
        <f t="shared" si="125"/>
        <v>1.3491428114966498E-3</v>
      </c>
      <c r="AB87" s="360">
        <f t="shared" si="126"/>
        <v>1.267018717146464</v>
      </c>
      <c r="AC87" s="360">
        <f t="shared" si="95"/>
        <v>9.6320185775968271E-3</v>
      </c>
      <c r="AD87" s="360">
        <f t="shared" si="96"/>
        <v>0.24376981346586934</v>
      </c>
      <c r="AE87" s="360">
        <f t="shared" si="97"/>
        <v>0.63444464999999983</v>
      </c>
      <c r="AF87" s="360">
        <f t="shared" si="98"/>
        <v>0</v>
      </c>
      <c r="AG87" s="360">
        <f t="shared" si="99"/>
        <v>0.88956013399076372</v>
      </c>
      <c r="AH87" s="360">
        <f t="shared" si="100"/>
        <v>2.9075543318577179</v>
      </c>
      <c r="AI87" s="360">
        <f t="shared" si="101"/>
        <v>2.113468048176145E-2</v>
      </c>
      <c r="AJ87" s="360">
        <f t="shared" si="102"/>
        <v>0.12841919999999998</v>
      </c>
      <c r="AK87" s="360">
        <f t="shared" si="103"/>
        <v>0.15003586641658428</v>
      </c>
      <c r="AL87" s="360">
        <f t="shared" si="104"/>
        <v>0.12841919999999998</v>
      </c>
      <c r="AM87" s="360">
        <f t="shared" si="105"/>
        <v>2.0638799999999997</v>
      </c>
      <c r="AN87" s="360">
        <f t="shared" si="106"/>
        <v>0.10059208622304054</v>
      </c>
      <c r="AO87" s="360">
        <f t="shared" si="107"/>
        <v>7.3499999999999998E-4</v>
      </c>
      <c r="AP87" s="360">
        <f t="shared" si="108"/>
        <v>0.34650000000000003</v>
      </c>
      <c r="AQ87" s="360">
        <f t="shared" si="109"/>
        <v>1.3167</v>
      </c>
      <c r="AR87" s="360">
        <f t="shared" si="110"/>
        <v>1.1088</v>
      </c>
      <c r="AS87" s="360">
        <f t="shared" si="133"/>
        <v>0.34723500000000002</v>
      </c>
      <c r="AT87" s="360">
        <f t="shared" si="111"/>
        <v>4.0334322644035412</v>
      </c>
      <c r="AU87">
        <f t="shared" si="112"/>
        <v>10.295999999999999</v>
      </c>
      <c r="AV87" s="542">
        <f t="shared" si="127"/>
        <v>0.71852113956927721</v>
      </c>
      <c r="AW87" s="551">
        <f t="shared" si="113"/>
        <v>112.58604669953817</v>
      </c>
      <c r="AX87" s="551">
        <f t="shared" si="114"/>
        <v>31.582418123830198</v>
      </c>
      <c r="AY87" s="9"/>
      <c r="AZ87" s="4">
        <f t="shared" si="128"/>
        <v>71.852113956927724</v>
      </c>
      <c r="BA87" s="360">
        <f t="shared" si="115"/>
        <v>0.35171121771704839</v>
      </c>
      <c r="BB87" s="360">
        <f t="shared" si="129"/>
        <v>3.1034760004073476</v>
      </c>
      <c r="BC87" s="360">
        <f t="shared" si="130"/>
        <v>2.2517209339907636</v>
      </c>
      <c r="BD87" s="360">
        <f t="shared" si="131"/>
        <v>0.8311162664165842</v>
      </c>
      <c r="BE87" s="360">
        <f t="shared" si="132"/>
        <v>0.10059208622304054</v>
      </c>
      <c r="BK87" s="18"/>
      <c r="BL87" s="19"/>
    </row>
    <row r="88" spans="1:64" x14ac:dyDescent="0.2">
      <c r="G88">
        <v>79</v>
      </c>
      <c r="H88" s="548">
        <f t="shared" si="85"/>
        <v>21</v>
      </c>
      <c r="I88" s="4">
        <f t="shared" si="86"/>
        <v>1</v>
      </c>
      <c r="J88" s="360">
        <f t="shared" si="116"/>
        <v>3.16</v>
      </c>
      <c r="K88" s="360">
        <f t="shared" si="87"/>
        <v>3.16</v>
      </c>
      <c r="L88" s="4">
        <f t="shared" si="88"/>
        <v>0.55174603174603165</v>
      </c>
      <c r="M88" s="360">
        <f t="shared" si="89"/>
        <v>0.15962006684890109</v>
      </c>
      <c r="N88" s="4">
        <f t="shared" si="90"/>
        <v>1.9745985922282083</v>
      </c>
      <c r="O88" s="4">
        <f t="shared" si="117"/>
        <v>4.1472992961141042</v>
      </c>
      <c r="P88" s="4">
        <f t="shared" si="118"/>
        <v>2.1727007038858961</v>
      </c>
      <c r="Q88" s="4">
        <f t="shared" si="91"/>
        <v>0</v>
      </c>
      <c r="R88" s="4">
        <f t="shared" si="119"/>
        <v>3.2109998391003494</v>
      </c>
      <c r="S88" s="360">
        <f t="shared" si="92"/>
        <v>5.1552599833512354E-2</v>
      </c>
      <c r="T88" s="360">
        <f t="shared" si="93"/>
        <v>0.3</v>
      </c>
      <c r="U88" s="360">
        <f t="shared" si="94"/>
        <v>0.3530084802270308</v>
      </c>
      <c r="V88" s="4">
        <f t="shared" si="120"/>
        <v>0.57001751438220616</v>
      </c>
      <c r="W88" s="360">
        <f t="shared" si="121"/>
        <v>6.4983993340493715E-4</v>
      </c>
      <c r="X88" s="360">
        <f t="shared" si="122"/>
        <v>6.4983993340493715E-4</v>
      </c>
      <c r="Y88" s="4">
        <f t="shared" si="123"/>
        <v>1.1760393809469252</v>
      </c>
      <c r="Z88" s="360">
        <f t="shared" si="124"/>
        <v>1.3830686255380269E-3</v>
      </c>
      <c r="AA88" s="541">
        <f t="shared" si="125"/>
        <v>1.3830686255380269E-3</v>
      </c>
      <c r="AB88" s="360">
        <f t="shared" si="126"/>
        <v>1.2828740726711947</v>
      </c>
      <c r="AC88" s="360">
        <f t="shared" si="95"/>
        <v>9.8745953179918671E-3</v>
      </c>
      <c r="AD88" s="360">
        <f t="shared" si="96"/>
        <v>0.24689506748466256</v>
      </c>
      <c r="AE88" s="360">
        <f t="shared" si="97"/>
        <v>0.63444464999999983</v>
      </c>
      <c r="AF88" s="360">
        <f t="shared" si="98"/>
        <v>0</v>
      </c>
      <c r="AG88" s="360">
        <f t="shared" si="99"/>
        <v>0.89297787182509314</v>
      </c>
      <c r="AH88" s="360">
        <f t="shared" si="100"/>
        <v>2.943595434221641</v>
      </c>
      <c r="AI88" s="360">
        <f t="shared" si="101"/>
        <v>2.1661885200926229E-2</v>
      </c>
      <c r="AJ88" s="360">
        <f t="shared" si="102"/>
        <v>0.1300656</v>
      </c>
      <c r="AK88" s="360">
        <f t="shared" si="103"/>
        <v>0.15222871446334865</v>
      </c>
      <c r="AL88" s="360">
        <f t="shared" si="104"/>
        <v>0.1300656</v>
      </c>
      <c r="AM88" s="360">
        <f t="shared" si="105"/>
        <v>2.0903399999999999</v>
      </c>
      <c r="AN88" s="360">
        <f t="shared" si="106"/>
        <v>0.10310519966702471</v>
      </c>
      <c r="AO88" s="360">
        <f t="shared" si="107"/>
        <v>7.3499999999999998E-4</v>
      </c>
      <c r="AP88" s="360">
        <f t="shared" si="108"/>
        <v>0.34650000000000003</v>
      </c>
      <c r="AQ88" s="360">
        <f t="shared" si="109"/>
        <v>1.3167</v>
      </c>
      <c r="AR88" s="360">
        <f t="shared" si="110"/>
        <v>1.1088</v>
      </c>
      <c r="AS88" s="360">
        <f t="shared" si="133"/>
        <v>0.34723500000000002</v>
      </c>
      <c r="AT88" s="360">
        <f t="shared" si="111"/>
        <v>4.0709937747414404</v>
      </c>
      <c r="AU88">
        <f t="shared" si="112"/>
        <v>10.427999999999999</v>
      </c>
      <c r="AV88" s="542">
        <f t="shared" si="127"/>
        <v>0.71922232411510645</v>
      </c>
      <c r="AW88" s="551">
        <f t="shared" si="113"/>
        <v>113.63011359125466</v>
      </c>
      <c r="AX88" s="551">
        <f t="shared" si="114"/>
        <v>31.997554749607247</v>
      </c>
      <c r="AY88" s="9"/>
      <c r="AZ88" s="4">
        <f t="shared" si="128"/>
        <v>71.922232411510649</v>
      </c>
      <c r="BA88" s="360">
        <f t="shared" si="115"/>
        <v>0.3530084802270308</v>
      </c>
      <c r="BB88" s="360">
        <f t="shared" si="129"/>
        <v>3.1355465862884415</v>
      </c>
      <c r="BC88" s="360">
        <f t="shared" si="130"/>
        <v>2.2726022718250931</v>
      </c>
      <c r="BD88" s="360">
        <f t="shared" si="131"/>
        <v>0.84204091446334861</v>
      </c>
      <c r="BE88" s="360">
        <f t="shared" si="132"/>
        <v>0.10310519966702471</v>
      </c>
      <c r="BK88" s="18"/>
      <c r="BL88" s="19"/>
    </row>
    <row r="89" spans="1:64" x14ac:dyDescent="0.2">
      <c r="G89">
        <v>80</v>
      </c>
      <c r="H89" s="548">
        <f t="shared" si="85"/>
        <v>21</v>
      </c>
      <c r="I89" s="4">
        <f t="shared" si="86"/>
        <v>1</v>
      </c>
      <c r="J89" s="360">
        <f t="shared" si="116"/>
        <v>3.2</v>
      </c>
      <c r="K89" s="360">
        <f t="shared" si="87"/>
        <v>3.2</v>
      </c>
      <c r="L89" s="4">
        <f t="shared" si="88"/>
        <v>0.55873015873015874</v>
      </c>
      <c r="M89" s="360">
        <f t="shared" si="89"/>
        <v>0.15965139290607397</v>
      </c>
      <c r="N89" s="4">
        <f t="shared" si="90"/>
        <v>1.9749369225540723</v>
      </c>
      <c r="O89" s="4">
        <f t="shared" si="117"/>
        <v>4.1874684612770361</v>
      </c>
      <c r="P89" s="4">
        <f t="shared" si="118"/>
        <v>2.2125315387229643</v>
      </c>
      <c r="Q89" s="4">
        <f t="shared" si="91"/>
        <v>0</v>
      </c>
      <c r="R89" s="4">
        <f t="shared" si="119"/>
        <v>3.250389410620254</v>
      </c>
      <c r="S89" s="360">
        <f t="shared" si="92"/>
        <v>5.2825156603361414E-2</v>
      </c>
      <c r="T89" s="360">
        <f t="shared" si="93"/>
        <v>0.3</v>
      </c>
      <c r="U89" s="360">
        <f t="shared" si="94"/>
        <v>0.3543225280459314</v>
      </c>
      <c r="V89" s="4">
        <f t="shared" si="120"/>
        <v>0.57011518193456234</v>
      </c>
      <c r="W89" s="360">
        <f t="shared" si="121"/>
        <v>6.5006264134455827E-4</v>
      </c>
      <c r="X89" s="360">
        <f t="shared" si="122"/>
        <v>6.5006264134455827E-4</v>
      </c>
      <c r="Y89" s="4">
        <f t="shared" si="123"/>
        <v>1.1905605633708645</v>
      </c>
      <c r="Z89" s="360">
        <f t="shared" si="124"/>
        <v>1.4174344550539502E-3</v>
      </c>
      <c r="AA89" s="541">
        <f t="shared" si="125"/>
        <v>1.4174344550539502E-3</v>
      </c>
      <c r="AB89" s="360">
        <f t="shared" si="126"/>
        <v>1.2987386058948229</v>
      </c>
      <c r="AC89" s="360">
        <f t="shared" si="95"/>
        <v>1.0120331798649769E-2</v>
      </c>
      <c r="AD89" s="360">
        <f t="shared" si="96"/>
        <v>0.25002032150345577</v>
      </c>
      <c r="AE89" s="360">
        <f t="shared" si="97"/>
        <v>0.63444464999999983</v>
      </c>
      <c r="AF89" s="360">
        <f t="shared" si="98"/>
        <v>0</v>
      </c>
      <c r="AG89" s="360">
        <f t="shared" si="99"/>
        <v>0.89639967573062462</v>
      </c>
      <c r="AH89" s="360">
        <f t="shared" si="100"/>
        <v>2.9796491998607242</v>
      </c>
      <c r="AI89" s="360">
        <f t="shared" si="101"/>
        <v>2.2195773385576635E-2</v>
      </c>
      <c r="AJ89" s="360">
        <f t="shared" si="102"/>
        <v>0.131712</v>
      </c>
      <c r="AK89" s="360">
        <f t="shared" si="103"/>
        <v>0.15442877864417626</v>
      </c>
      <c r="AL89" s="360">
        <f t="shared" si="104"/>
        <v>0.131712</v>
      </c>
      <c r="AM89" s="360">
        <f t="shared" si="105"/>
        <v>2.1168</v>
      </c>
      <c r="AN89" s="360">
        <f t="shared" si="106"/>
        <v>0.10565031320672283</v>
      </c>
      <c r="AO89" s="360">
        <f t="shared" si="107"/>
        <v>7.3499999999999998E-4</v>
      </c>
      <c r="AP89" s="360">
        <f t="shared" si="108"/>
        <v>0.34650000000000003</v>
      </c>
      <c r="AQ89" s="360">
        <f t="shared" si="109"/>
        <v>1.3167</v>
      </c>
      <c r="AR89" s="360">
        <f t="shared" si="110"/>
        <v>1.1088</v>
      </c>
      <c r="AS89" s="360">
        <f t="shared" si="133"/>
        <v>0.34723500000000002</v>
      </c>
      <c r="AT89" s="360">
        <f t="shared" si="111"/>
        <v>4.108615792723854</v>
      </c>
      <c r="AU89">
        <f t="shared" si="112"/>
        <v>10.56</v>
      </c>
      <c r="AV89" s="542">
        <f t="shared" si="127"/>
        <v>0.71990432834420059</v>
      </c>
      <c r="AW89" s="551">
        <f t="shared" si="113"/>
        <v>114.67438378653124</v>
      </c>
      <c r="AX89" s="551">
        <f t="shared" si="114"/>
        <v>32.412965588478698</v>
      </c>
      <c r="AY89" s="9"/>
      <c r="AZ89" s="4">
        <f t="shared" si="128"/>
        <v>71.990432834420062</v>
      </c>
      <c r="BA89" s="360">
        <f t="shared" si="115"/>
        <v>0.3543225280459314</v>
      </c>
      <c r="BB89" s="360">
        <f t="shared" si="129"/>
        <v>3.167628454374801</v>
      </c>
      <c r="BC89" s="360">
        <f t="shared" si="130"/>
        <v>2.2934876757306246</v>
      </c>
      <c r="BD89" s="360">
        <f t="shared" si="131"/>
        <v>0.85297277864417631</v>
      </c>
      <c r="BE89" s="360">
        <f t="shared" si="132"/>
        <v>0.10565031320672283</v>
      </c>
      <c r="BK89" s="18"/>
      <c r="BL89" s="19"/>
    </row>
    <row r="90" spans="1:64" x14ac:dyDescent="0.2">
      <c r="G90">
        <v>81</v>
      </c>
      <c r="H90" s="548">
        <f t="shared" si="85"/>
        <v>21</v>
      </c>
      <c r="I90" s="4">
        <f t="shared" si="86"/>
        <v>1</v>
      </c>
      <c r="J90" s="360">
        <f t="shared" si="116"/>
        <v>3.24</v>
      </c>
      <c r="K90" s="360">
        <f t="shared" si="87"/>
        <v>3.24</v>
      </c>
      <c r="L90" s="4">
        <f t="shared" si="88"/>
        <v>0.56571428571428561</v>
      </c>
      <c r="M90" s="360">
        <f t="shared" si="89"/>
        <v>0.15968271818833113</v>
      </c>
      <c r="N90" s="4">
        <f t="shared" si="90"/>
        <v>1.9752752239896556</v>
      </c>
      <c r="O90" s="4">
        <f t="shared" si="117"/>
        <v>4.2276376119948278</v>
      </c>
      <c r="P90" s="4">
        <f t="shared" si="118"/>
        <v>2.2523623880051726</v>
      </c>
      <c r="Q90" s="4">
        <f t="shared" si="91"/>
        <v>0</v>
      </c>
      <c r="R90" s="4">
        <f t="shared" si="119"/>
        <v>3.2897937145372733</v>
      </c>
      <c r="S90" s="360">
        <f t="shared" si="92"/>
        <v>5.4113713421044755E-2</v>
      </c>
      <c r="T90" s="360">
        <f t="shared" si="93"/>
        <v>0.3</v>
      </c>
      <c r="U90" s="360">
        <f t="shared" si="94"/>
        <v>0.3556533713903765</v>
      </c>
      <c r="V90" s="4">
        <f t="shared" si="120"/>
        <v>0.57021284114701298</v>
      </c>
      <c r="W90" s="360">
        <f t="shared" si="121"/>
        <v>6.5028536841789733E-4</v>
      </c>
      <c r="X90" s="360">
        <f t="shared" si="122"/>
        <v>6.5028536841789733E-4</v>
      </c>
      <c r="Y90" s="4">
        <f t="shared" si="123"/>
        <v>1.2050894169564434</v>
      </c>
      <c r="Z90" s="360">
        <f t="shared" si="124"/>
        <v>1.4522405028604209E-3</v>
      </c>
      <c r="AA90" s="541">
        <f t="shared" si="125"/>
        <v>1.4522405028604209E-3</v>
      </c>
      <c r="AB90" s="360">
        <f t="shared" si="126"/>
        <v>1.3146120987072043</v>
      </c>
      <c r="AC90" s="360">
        <f t="shared" si="95"/>
        <v>1.0369229820404162E-2</v>
      </c>
      <c r="AD90" s="360">
        <f t="shared" si="96"/>
        <v>0.25314557552224892</v>
      </c>
      <c r="AE90" s="360">
        <f t="shared" si="97"/>
        <v>0.63444464999999983</v>
      </c>
      <c r="AF90" s="360">
        <f t="shared" si="98"/>
        <v>0</v>
      </c>
      <c r="AG90" s="360">
        <f t="shared" si="99"/>
        <v>0.89982555493813809</v>
      </c>
      <c r="AH90" s="360">
        <f t="shared" si="100"/>
        <v>3.015715124832183</v>
      </c>
      <c r="AI90" s="360">
        <f t="shared" si="101"/>
        <v>2.2736344285353975E-2</v>
      </c>
      <c r="AJ90" s="360">
        <f t="shared" si="102"/>
        <v>0.13335839999999999</v>
      </c>
      <c r="AK90" s="360">
        <f t="shared" si="103"/>
        <v>0.15663606667936186</v>
      </c>
      <c r="AL90" s="360">
        <f t="shared" si="104"/>
        <v>0.13335839999999999</v>
      </c>
      <c r="AM90" s="360">
        <f t="shared" si="105"/>
        <v>2.1432600000000002</v>
      </c>
      <c r="AN90" s="360">
        <f t="shared" si="106"/>
        <v>0.10822742684208951</v>
      </c>
      <c r="AO90" s="360">
        <f t="shared" si="107"/>
        <v>7.3499999999999998E-4</v>
      </c>
      <c r="AP90" s="360">
        <f t="shared" si="108"/>
        <v>0.34650000000000003</v>
      </c>
      <c r="AQ90" s="360">
        <f t="shared" si="109"/>
        <v>1.3167</v>
      </c>
      <c r="AR90" s="360">
        <f t="shared" si="110"/>
        <v>1.1088</v>
      </c>
      <c r="AS90" s="360">
        <f t="shared" si="133"/>
        <v>0.34723500000000002</v>
      </c>
      <c r="AT90" s="360">
        <f t="shared" si="111"/>
        <v>4.1462983457212443</v>
      </c>
      <c r="AU90">
        <f t="shared" si="112"/>
        <v>10.692</v>
      </c>
      <c r="AV90" s="542">
        <f t="shared" si="127"/>
        <v>0.72056780035583612</v>
      </c>
      <c r="AW90" s="551">
        <f t="shared" si="113"/>
        <v>115.71885774690691</v>
      </c>
      <c r="AX90" s="551">
        <f t="shared" si="114"/>
        <v>32.828650933815752</v>
      </c>
      <c r="AY90" s="9"/>
      <c r="AZ90" s="4">
        <f t="shared" si="128"/>
        <v>72.056780035583614</v>
      </c>
      <c r="BA90" s="360">
        <f t="shared" si="115"/>
        <v>0.3556533713903765</v>
      </c>
      <c r="BB90" s="360">
        <f t="shared" si="129"/>
        <v>3.1997216216175</v>
      </c>
      <c r="BC90" s="360">
        <f t="shared" si="130"/>
        <v>2.3143771549381382</v>
      </c>
      <c r="BD90" s="360">
        <f t="shared" si="131"/>
        <v>0.86391186667936193</v>
      </c>
      <c r="BE90" s="360">
        <f t="shared" si="132"/>
        <v>0.10822742684208951</v>
      </c>
      <c r="BK90" s="18"/>
      <c r="BL90" s="19"/>
    </row>
    <row r="91" spans="1:64" x14ac:dyDescent="0.2">
      <c r="G91">
        <v>82</v>
      </c>
      <c r="H91" s="548">
        <f t="shared" si="85"/>
        <v>21</v>
      </c>
      <c r="I91" s="4">
        <f t="shared" si="86"/>
        <v>1</v>
      </c>
      <c r="J91" s="360">
        <f t="shared" si="116"/>
        <v>3.28</v>
      </c>
      <c r="K91" s="360">
        <f t="shared" si="87"/>
        <v>3.28</v>
      </c>
      <c r="L91" s="4">
        <f t="shared" si="88"/>
        <v>0.57269841269841248</v>
      </c>
      <c r="M91" s="360">
        <f t="shared" si="89"/>
        <v>0.1597140426957013</v>
      </c>
      <c r="N91" s="4">
        <f t="shared" si="90"/>
        <v>1.975613496536031</v>
      </c>
      <c r="O91" s="4">
        <f t="shared" si="117"/>
        <v>4.2678067482680149</v>
      </c>
      <c r="P91" s="4">
        <f t="shared" si="118"/>
        <v>2.2921932517319843</v>
      </c>
      <c r="Q91" s="4">
        <f t="shared" si="91"/>
        <v>0</v>
      </c>
      <c r="R91" s="4">
        <f t="shared" si="119"/>
        <v>3.3292122277361567</v>
      </c>
      <c r="S91" s="360">
        <f t="shared" si="92"/>
        <v>5.5418270286539714E-2</v>
      </c>
      <c r="T91" s="360">
        <f t="shared" si="93"/>
        <v>0.3</v>
      </c>
      <c r="U91" s="360">
        <f t="shared" si="94"/>
        <v>0.35700102061076194</v>
      </c>
      <c r="V91" s="4">
        <f t="shared" si="120"/>
        <v>0.57031049201986772</v>
      </c>
      <c r="W91" s="360">
        <f t="shared" si="121"/>
        <v>6.5050811461588726E-4</v>
      </c>
      <c r="X91" s="360">
        <f t="shared" si="122"/>
        <v>6.5050811461588726E-4</v>
      </c>
      <c r="Y91" s="4">
        <f t="shared" si="123"/>
        <v>1.2196257506816588</v>
      </c>
      <c r="Z91" s="360">
        <f t="shared" si="124"/>
        <v>1.4874869717257998E-3</v>
      </c>
      <c r="AA91" s="541">
        <f t="shared" si="125"/>
        <v>1.4874869717257998E-3</v>
      </c>
      <c r="AB91" s="360">
        <f t="shared" si="126"/>
        <v>1.3304943432173111</v>
      </c>
      <c r="AC91" s="360">
        <f t="shared" si="95"/>
        <v>1.0621291183999584E-2</v>
      </c>
      <c r="AD91" s="360">
        <f t="shared" si="96"/>
        <v>0.25627082954104213</v>
      </c>
      <c r="AE91" s="360">
        <f t="shared" si="97"/>
        <v>0.63444464999999983</v>
      </c>
      <c r="AF91" s="360">
        <f t="shared" si="98"/>
        <v>0</v>
      </c>
      <c r="AG91" s="360">
        <f t="shared" si="99"/>
        <v>0.90325551870057619</v>
      </c>
      <c r="AH91" s="360">
        <f t="shared" si="100"/>
        <v>3.0517927288685054</v>
      </c>
      <c r="AI91" s="360">
        <f t="shared" si="101"/>
        <v>2.3283597149936698E-2</v>
      </c>
      <c r="AJ91" s="360">
        <f t="shared" si="102"/>
        <v>0.13500479999999998</v>
      </c>
      <c r="AK91" s="360">
        <f t="shared" si="103"/>
        <v>0.15885058633494328</v>
      </c>
      <c r="AL91" s="360">
        <f t="shared" si="104"/>
        <v>0.13500479999999998</v>
      </c>
      <c r="AM91" s="360">
        <f t="shared" si="105"/>
        <v>2.1697199999999994</v>
      </c>
      <c r="AN91" s="360">
        <f t="shared" si="106"/>
        <v>0.11083654057307943</v>
      </c>
      <c r="AO91" s="360">
        <f t="shared" si="107"/>
        <v>7.3499999999999998E-4</v>
      </c>
      <c r="AP91" s="360">
        <f t="shared" si="108"/>
        <v>0.34650000000000003</v>
      </c>
      <c r="AQ91" s="360">
        <f t="shared" si="109"/>
        <v>1.3167</v>
      </c>
      <c r="AR91" s="360">
        <f t="shared" si="110"/>
        <v>1.1088</v>
      </c>
      <c r="AS91" s="360">
        <f t="shared" si="133"/>
        <v>0.34723500000000002</v>
      </c>
      <c r="AT91" s="360">
        <f t="shared" si="111"/>
        <v>4.1840414613057026</v>
      </c>
      <c r="AU91">
        <f t="shared" si="112"/>
        <v>10.823999999999998</v>
      </c>
      <c r="AV91" s="542">
        <f t="shared" si="127"/>
        <v>0.7212133593784934</v>
      </c>
      <c r="AW91" s="551">
        <f t="shared" si="113"/>
        <v>116.7635359350288</v>
      </c>
      <c r="AX91" s="551">
        <f t="shared" si="114"/>
        <v>33.244611080727843</v>
      </c>
      <c r="AY91" s="9"/>
      <c r="AZ91" s="4">
        <f t="shared" si="128"/>
        <v>72.121335937849338</v>
      </c>
      <c r="BA91" s="360">
        <f t="shared" si="115"/>
        <v>0.35700102061076194</v>
      </c>
      <c r="BB91" s="360">
        <f t="shared" si="129"/>
        <v>3.2318261050355188</v>
      </c>
      <c r="BC91" s="360">
        <f t="shared" si="130"/>
        <v>2.3352707187005759</v>
      </c>
      <c r="BD91" s="360">
        <f t="shared" si="131"/>
        <v>0.87485818633494317</v>
      </c>
      <c r="BE91" s="360">
        <f t="shared" si="132"/>
        <v>0.11083654057307943</v>
      </c>
      <c r="BK91" s="18"/>
      <c r="BL91" s="19"/>
    </row>
    <row r="92" spans="1:64" x14ac:dyDescent="0.2">
      <c r="G92">
        <v>83</v>
      </c>
      <c r="H92" s="548">
        <f t="shared" si="85"/>
        <v>21</v>
      </c>
      <c r="I92" s="4">
        <f t="shared" si="86"/>
        <v>1</v>
      </c>
      <c r="J92" s="360">
        <f t="shared" si="116"/>
        <v>3.32</v>
      </c>
      <c r="K92" s="360">
        <f t="shared" si="87"/>
        <v>3.32</v>
      </c>
      <c r="L92" s="4">
        <f t="shared" si="88"/>
        <v>0.57968253968253958</v>
      </c>
      <c r="M92" s="360">
        <f t="shared" si="89"/>
        <v>0.1597453664282133</v>
      </c>
      <c r="N92" s="4">
        <f t="shared" si="90"/>
        <v>1.9759517401942694</v>
      </c>
      <c r="O92" s="4">
        <f t="shared" si="117"/>
        <v>4.3079758700971347</v>
      </c>
      <c r="P92" s="4">
        <f t="shared" si="118"/>
        <v>2.332024129902865</v>
      </c>
      <c r="Q92" s="4">
        <f t="shared" si="91"/>
        <v>0</v>
      </c>
      <c r="R92" s="4">
        <f t="shared" si="119"/>
        <v>3.3686444514024823</v>
      </c>
      <c r="S92" s="360">
        <f t="shared" si="92"/>
        <v>5.6738827199823649E-2</v>
      </c>
      <c r="T92" s="360">
        <f t="shared" si="93"/>
        <v>0.3</v>
      </c>
      <c r="U92" s="360">
        <f t="shared" si="94"/>
        <v>0.35836548619145547</v>
      </c>
      <c r="V92" s="4">
        <f t="shared" si="120"/>
        <v>0.57040813455343553</v>
      </c>
      <c r="W92" s="360">
        <f t="shared" si="121"/>
        <v>6.5073087992946043E-4</v>
      </c>
      <c r="X92" s="360">
        <f t="shared" si="122"/>
        <v>6.5073087992946043E-4</v>
      </c>
      <c r="Y92" s="4">
        <f t="shared" si="123"/>
        <v>1.2341693823664612</v>
      </c>
      <c r="Z92" s="360">
        <f t="shared" si="124"/>
        <v>1.5231740643708125E-3</v>
      </c>
      <c r="AA92" s="541">
        <f t="shared" si="125"/>
        <v>1.5231740643708125E-3</v>
      </c>
      <c r="AB92" s="360">
        <f t="shared" si="126"/>
        <v>1.3463851411645114</v>
      </c>
      <c r="AC92" s="360">
        <f t="shared" si="95"/>
        <v>1.0876517690091488E-2</v>
      </c>
      <c r="AD92" s="360">
        <f t="shared" si="96"/>
        <v>0.25939608355983534</v>
      </c>
      <c r="AE92" s="360">
        <f t="shared" si="97"/>
        <v>0.63444464999999983</v>
      </c>
      <c r="AF92" s="360">
        <f t="shared" si="98"/>
        <v>0</v>
      </c>
      <c r="AG92" s="360">
        <f t="shared" si="99"/>
        <v>0.90668957629312141</v>
      </c>
      <c r="AH92" s="360">
        <f t="shared" si="100"/>
        <v>3.0878815540133902</v>
      </c>
      <c r="AI92" s="360">
        <f t="shared" si="101"/>
        <v>2.3837531229040372E-2</v>
      </c>
      <c r="AJ92" s="360">
        <f t="shared" si="102"/>
        <v>0.13665119999999997</v>
      </c>
      <c r="AK92" s="360">
        <f t="shared" si="103"/>
        <v>0.16107234542279122</v>
      </c>
      <c r="AL92" s="360">
        <f t="shared" si="104"/>
        <v>0.13665119999999997</v>
      </c>
      <c r="AM92" s="360">
        <f t="shared" si="105"/>
        <v>2.19618</v>
      </c>
      <c r="AN92" s="360">
        <f t="shared" si="106"/>
        <v>0.1134776543996473</v>
      </c>
      <c r="AO92" s="360">
        <f t="shared" si="107"/>
        <v>7.3499999999999998E-4</v>
      </c>
      <c r="AP92" s="360">
        <f t="shared" si="108"/>
        <v>0.34650000000000003</v>
      </c>
      <c r="AQ92" s="360">
        <f t="shared" si="109"/>
        <v>1.3167</v>
      </c>
      <c r="AR92" s="360">
        <f t="shared" si="110"/>
        <v>1.1088</v>
      </c>
      <c r="AS92" s="360">
        <f t="shared" si="133"/>
        <v>0.34723500000000002</v>
      </c>
      <c r="AT92" s="360">
        <f t="shared" si="111"/>
        <v>4.221845167251316</v>
      </c>
      <c r="AU92">
        <f t="shared" si="112"/>
        <v>10.956</v>
      </c>
      <c r="AV92" s="542">
        <f t="shared" si="127"/>
        <v>0.7218415973592458</v>
      </c>
      <c r="AW92" s="551">
        <f t="shared" si="113"/>
        <v>117.80841881465606</v>
      </c>
      <c r="AX92" s="551">
        <f t="shared" si="114"/>
        <v>33.660846326066071</v>
      </c>
      <c r="AY92" s="9"/>
      <c r="AZ92" s="4">
        <f t="shared" si="128"/>
        <v>72.184159735924581</v>
      </c>
      <c r="BA92" s="360">
        <f t="shared" si="115"/>
        <v>0.35836548619145547</v>
      </c>
      <c r="BB92" s="360">
        <f t="shared" si="129"/>
        <v>3.2639419217159125</v>
      </c>
      <c r="BC92" s="360">
        <f t="shared" si="130"/>
        <v>2.3561683762931214</v>
      </c>
      <c r="BD92" s="360">
        <f t="shared" si="131"/>
        <v>0.88581174542279129</v>
      </c>
      <c r="BE92" s="360">
        <f t="shared" si="132"/>
        <v>0.1134776543996473</v>
      </c>
      <c r="BK92" s="18"/>
      <c r="BL92" s="19"/>
    </row>
    <row r="93" spans="1:64" x14ac:dyDescent="0.2">
      <c r="G93">
        <v>84</v>
      </c>
      <c r="H93" s="548">
        <f t="shared" si="85"/>
        <v>21</v>
      </c>
      <c r="I93" s="4">
        <f t="shared" si="86"/>
        <v>1</v>
      </c>
      <c r="J93" s="360">
        <f t="shared" si="116"/>
        <v>3.36</v>
      </c>
      <c r="K93" s="360">
        <f t="shared" si="87"/>
        <v>3.36</v>
      </c>
      <c r="L93" s="4">
        <f t="shared" si="88"/>
        <v>0.58666666666666656</v>
      </c>
      <c r="M93" s="360">
        <f t="shared" si="89"/>
        <v>0.15977668938589581</v>
      </c>
      <c r="N93" s="4">
        <f t="shared" si="90"/>
        <v>1.9762899549654429</v>
      </c>
      <c r="O93" s="4">
        <f t="shared" si="117"/>
        <v>4.348144977482721</v>
      </c>
      <c r="P93" s="4">
        <f t="shared" si="118"/>
        <v>2.3718550225172783</v>
      </c>
      <c r="Q93" s="4">
        <f t="shared" si="91"/>
        <v>0</v>
      </c>
      <c r="R93" s="4">
        <f t="shared" si="119"/>
        <v>3.4080899096377686</v>
      </c>
      <c r="S93" s="360">
        <f t="shared" si="92"/>
        <v>5.8075384160873871E-2</v>
      </c>
      <c r="T93" s="360">
        <f t="shared" si="93"/>
        <v>0.3</v>
      </c>
      <c r="U93" s="360">
        <f t="shared" si="94"/>
        <v>0.35974677875100197</v>
      </c>
      <c r="V93" s="4">
        <f t="shared" si="120"/>
        <v>0.57050576874802594</v>
      </c>
      <c r="W93" s="360">
        <f t="shared" si="121"/>
        <v>6.5095366434955216E-4</v>
      </c>
      <c r="X93" s="360">
        <f t="shared" si="122"/>
        <v>6.5095366434955216E-4</v>
      </c>
      <c r="Y93" s="4">
        <f t="shared" si="123"/>
        <v>1.248720138168899</v>
      </c>
      <c r="Z93" s="360">
        <f t="shared" si="124"/>
        <v>1.5593019834685546E-3</v>
      </c>
      <c r="AA93" s="541">
        <f t="shared" si="125"/>
        <v>1.5593019834685546E-3</v>
      </c>
      <c r="AB93" s="360">
        <f t="shared" si="126"/>
        <v>1.3622843033697862</v>
      </c>
      <c r="AC93" s="360">
        <f t="shared" si="95"/>
        <v>1.1134911139246223E-2</v>
      </c>
      <c r="AD93" s="360">
        <f t="shared" si="96"/>
        <v>0.26252133757862856</v>
      </c>
      <c r="AE93" s="360">
        <f t="shared" si="97"/>
        <v>0.63444464999999983</v>
      </c>
      <c r="AF93" s="360">
        <f t="shared" si="98"/>
        <v>0</v>
      </c>
      <c r="AG93" s="360">
        <f t="shared" si="99"/>
        <v>0.91012773701327587</v>
      </c>
      <c r="AH93" s="360">
        <f t="shared" si="100"/>
        <v>3.1239811633502321</v>
      </c>
      <c r="AI93" s="360">
        <f t="shared" si="101"/>
        <v>2.4398145772417675E-2</v>
      </c>
      <c r="AJ93" s="360">
        <f t="shared" si="102"/>
        <v>0.13829759999999997</v>
      </c>
      <c r="AK93" s="360">
        <f t="shared" si="103"/>
        <v>0.16330135180069971</v>
      </c>
      <c r="AL93" s="360">
        <f t="shared" si="104"/>
        <v>0.13829759999999997</v>
      </c>
      <c r="AM93" s="360">
        <f t="shared" si="105"/>
        <v>2.2226399999999997</v>
      </c>
      <c r="AN93" s="360">
        <f t="shared" si="106"/>
        <v>0.11615076832174774</v>
      </c>
      <c r="AO93" s="360">
        <f t="shared" si="107"/>
        <v>7.3499999999999998E-4</v>
      </c>
      <c r="AP93" s="360">
        <f t="shared" si="108"/>
        <v>0.34650000000000003</v>
      </c>
      <c r="AQ93" s="360">
        <f t="shared" si="109"/>
        <v>1.3167</v>
      </c>
      <c r="AR93" s="360">
        <f t="shared" si="110"/>
        <v>1.1088</v>
      </c>
      <c r="AS93" s="360">
        <f t="shared" si="133"/>
        <v>0.34723500000000002</v>
      </c>
      <c r="AT93" s="360">
        <f t="shared" si="111"/>
        <v>4.2597094915345437</v>
      </c>
      <c r="AU93">
        <f t="shared" si="112"/>
        <v>11.087999999999999</v>
      </c>
      <c r="AV93" s="542">
        <f t="shared" si="127"/>
        <v>0.72245308044929402</v>
      </c>
      <c r="AW93" s="551">
        <f t="shared" si="113"/>
        <v>118.85350685066381</v>
      </c>
      <c r="AX93" s="551">
        <f t="shared" si="114"/>
        <v>34.077356968426585</v>
      </c>
      <c r="AY93" s="9"/>
      <c r="AZ93" s="4">
        <f t="shared" si="128"/>
        <v>72.245308044929402</v>
      </c>
      <c r="BA93" s="360">
        <f t="shared" si="115"/>
        <v>0.35974677875100197</v>
      </c>
      <c r="BB93" s="360">
        <f t="shared" si="129"/>
        <v>3.2960690888139754</v>
      </c>
      <c r="BC93" s="360">
        <f t="shared" si="130"/>
        <v>2.3770701370132761</v>
      </c>
      <c r="BD93" s="360">
        <f t="shared" si="131"/>
        <v>0.8967725518006997</v>
      </c>
      <c r="BE93" s="360">
        <f t="shared" si="132"/>
        <v>0.11615076832174774</v>
      </c>
      <c r="BK93" s="18"/>
      <c r="BL93" s="19"/>
    </row>
    <row r="94" spans="1:64" x14ac:dyDescent="0.2">
      <c r="G94">
        <v>85</v>
      </c>
      <c r="H94" s="548">
        <f t="shared" si="85"/>
        <v>21</v>
      </c>
      <c r="I94" s="4">
        <f t="shared" si="86"/>
        <v>1</v>
      </c>
      <c r="J94" s="360">
        <f t="shared" si="116"/>
        <v>3.4</v>
      </c>
      <c r="K94" s="360">
        <f t="shared" si="87"/>
        <v>3.4</v>
      </c>
      <c r="L94" s="4">
        <f t="shared" si="88"/>
        <v>0.59365079365079354</v>
      </c>
      <c r="M94" s="360">
        <f t="shared" si="89"/>
        <v>0.15980801156877761</v>
      </c>
      <c r="N94" s="4">
        <f t="shared" si="90"/>
        <v>1.9766281408506237</v>
      </c>
      <c r="O94" s="4">
        <f t="shared" si="117"/>
        <v>4.3883140704253121</v>
      </c>
      <c r="P94" s="4">
        <f t="shared" si="118"/>
        <v>2.4116859295746882</v>
      </c>
      <c r="Q94" s="4">
        <f t="shared" si="91"/>
        <v>0</v>
      </c>
      <c r="R94" s="4">
        <f t="shared" si="119"/>
        <v>3.4475481481675567</v>
      </c>
      <c r="S94" s="360">
        <f t="shared" si="92"/>
        <v>5.942794116966775E-2</v>
      </c>
      <c r="T94" s="360">
        <f t="shared" si="93"/>
        <v>0.3</v>
      </c>
      <c r="U94" s="360">
        <f t="shared" si="94"/>
        <v>0.36114490904233115</v>
      </c>
      <c r="V94" s="4">
        <f t="shared" si="120"/>
        <v>0.5706033946039486</v>
      </c>
      <c r="W94" s="360">
        <f t="shared" si="121"/>
        <v>6.5117646786709896E-4</v>
      </c>
      <c r="X94" s="360">
        <f t="shared" si="122"/>
        <v>6.5117646786709896E-4</v>
      </c>
      <c r="Y94" s="4">
        <f t="shared" si="123"/>
        <v>1.263277852115082</v>
      </c>
      <c r="Z94" s="360">
        <f t="shared" si="124"/>
        <v>1.5958709316444949E-3</v>
      </c>
      <c r="AA94" s="541">
        <f t="shared" si="125"/>
        <v>1.5958709316444949E-3</v>
      </c>
      <c r="AB94" s="360">
        <f t="shared" si="126"/>
        <v>1.3781916492237862</v>
      </c>
      <c r="AC94" s="360">
        <f t="shared" si="95"/>
        <v>1.139647333194108E-2</v>
      </c>
      <c r="AD94" s="360">
        <f t="shared" si="96"/>
        <v>0.26564659159742166</v>
      </c>
      <c r="AE94" s="360">
        <f t="shared" si="97"/>
        <v>0.63444464999999983</v>
      </c>
      <c r="AF94" s="360">
        <f t="shared" si="98"/>
        <v>0</v>
      </c>
      <c r="AG94" s="360">
        <f t="shared" si="99"/>
        <v>0.9135700101809402</v>
      </c>
      <c r="AH94" s="360">
        <f t="shared" si="100"/>
        <v>3.1600911398159659</v>
      </c>
      <c r="AI94" s="360">
        <f t="shared" si="101"/>
        <v>2.4965440029858427E-2</v>
      </c>
      <c r="AJ94" s="360">
        <f t="shared" si="102"/>
        <v>0.13994399999999999</v>
      </c>
      <c r="AK94" s="360">
        <f t="shared" si="103"/>
        <v>0.16553761337247755</v>
      </c>
      <c r="AL94" s="360">
        <f t="shared" si="104"/>
        <v>0.13994399999999999</v>
      </c>
      <c r="AM94" s="360">
        <f t="shared" si="105"/>
        <v>2.2490999999999999</v>
      </c>
      <c r="AN94" s="360">
        <f t="shared" si="106"/>
        <v>0.1188558823393355</v>
      </c>
      <c r="AO94" s="360">
        <f t="shared" si="107"/>
        <v>7.3499999999999998E-4</v>
      </c>
      <c r="AP94" s="360">
        <f t="shared" si="108"/>
        <v>0.34650000000000003</v>
      </c>
      <c r="AQ94" s="360">
        <f t="shared" si="109"/>
        <v>1.3167</v>
      </c>
      <c r="AR94" s="360">
        <f t="shared" si="110"/>
        <v>1.1088</v>
      </c>
      <c r="AS94" s="360">
        <f t="shared" si="133"/>
        <v>0.34723500000000002</v>
      </c>
      <c r="AT94" s="360">
        <f t="shared" si="111"/>
        <v>4.2976344623345968</v>
      </c>
      <c r="AU94">
        <f t="shared" si="112"/>
        <v>11.219999999999999</v>
      </c>
      <c r="AV94" s="542">
        <f t="shared" si="127"/>
        <v>0.72304835039347704</v>
      </c>
      <c r="AW94" s="551">
        <f t="shared" si="113"/>
        <v>119.89880050904699</v>
      </c>
      <c r="AX94" s="551">
        <f t="shared" si="114"/>
        <v>34.494143308154143</v>
      </c>
      <c r="AY94" s="9"/>
      <c r="AZ94" s="4">
        <f t="shared" si="128"/>
        <v>72.304835039347708</v>
      </c>
      <c r="BA94" s="360">
        <f t="shared" si="115"/>
        <v>0.36114490904233115</v>
      </c>
      <c r="BB94" s="360">
        <f t="shared" si="129"/>
        <v>3.3282076235534177</v>
      </c>
      <c r="BC94" s="360">
        <f t="shared" si="130"/>
        <v>2.39797601018094</v>
      </c>
      <c r="BD94" s="360">
        <f t="shared" si="131"/>
        <v>0.90774061337247747</v>
      </c>
      <c r="BE94" s="360">
        <f t="shared" si="132"/>
        <v>0.1188558823393355</v>
      </c>
      <c r="BK94" s="18"/>
      <c r="BL94" s="19"/>
    </row>
    <row r="95" spans="1:64" x14ac:dyDescent="0.2">
      <c r="G95">
        <v>86</v>
      </c>
      <c r="H95" s="548">
        <f t="shared" si="85"/>
        <v>21</v>
      </c>
      <c r="I95" s="4">
        <f t="shared" si="86"/>
        <v>1</v>
      </c>
      <c r="J95" s="360">
        <f t="shared" si="116"/>
        <v>3.44</v>
      </c>
      <c r="K95" s="360">
        <f t="shared" si="87"/>
        <v>3.44</v>
      </c>
      <c r="L95" s="4">
        <f t="shared" si="88"/>
        <v>0.60063492063492052</v>
      </c>
      <c r="M95" s="360">
        <f t="shared" si="89"/>
        <v>0.15983933297688746</v>
      </c>
      <c r="N95" s="4">
        <f t="shared" si="90"/>
        <v>1.9769662978508842</v>
      </c>
      <c r="O95" s="4">
        <f t="shared" si="117"/>
        <v>4.4284831489254417</v>
      </c>
      <c r="P95" s="4">
        <f t="shared" si="118"/>
        <v>2.4515168510745577</v>
      </c>
      <c r="Q95" s="4">
        <f t="shared" si="91"/>
        <v>0</v>
      </c>
      <c r="R95" s="4">
        <f t="shared" si="119"/>
        <v>3.4870187331353009</v>
      </c>
      <c r="S95" s="360">
        <f t="shared" si="92"/>
        <v>6.0796498226182598E-2</v>
      </c>
      <c r="T95" s="360">
        <f t="shared" si="93"/>
        <v>0.3</v>
      </c>
      <c r="U95" s="360">
        <f t="shared" si="94"/>
        <v>0.36255988795296801</v>
      </c>
      <c r="V95" s="4">
        <f t="shared" si="120"/>
        <v>0.57070101212151292</v>
      </c>
      <c r="W95" s="360">
        <f t="shared" si="121"/>
        <v>6.5139929047303851E-4</v>
      </c>
      <c r="X95" s="360">
        <f t="shared" si="122"/>
        <v>6.5139929047303851E-4</v>
      </c>
      <c r="Y95" s="4">
        <f t="shared" si="123"/>
        <v>1.2778423656603679</v>
      </c>
      <c r="Z95" s="360">
        <f t="shared" si="124"/>
        <v>1.6328811114764855E-3</v>
      </c>
      <c r="AA95" s="541">
        <f t="shared" si="125"/>
        <v>1.6328811114764855E-3</v>
      </c>
      <c r="AB95" s="360">
        <f t="shared" si="126"/>
        <v>1.3941070062088883</v>
      </c>
      <c r="AC95" s="360">
        <f t="shared" si="95"/>
        <v>1.1661206068564255E-2</v>
      </c>
      <c r="AD95" s="360">
        <f t="shared" si="96"/>
        <v>0.26877184561621492</v>
      </c>
      <c r="AE95" s="360">
        <f t="shared" si="97"/>
        <v>0.63444464999999983</v>
      </c>
      <c r="AF95" s="360">
        <f t="shared" si="98"/>
        <v>0</v>
      </c>
      <c r="AG95" s="360">
        <f t="shared" si="99"/>
        <v>0.91701640513849381</v>
      </c>
      <c r="AH95" s="360">
        <f t="shared" si="100"/>
        <v>3.1962110850936942</v>
      </c>
      <c r="AI95" s="360">
        <f t="shared" si="101"/>
        <v>2.5539413251189528E-2</v>
      </c>
      <c r="AJ95" s="360">
        <f t="shared" si="102"/>
        <v>0.14159039999999998</v>
      </c>
      <c r="AK95" s="360">
        <f t="shared" si="103"/>
        <v>0.16778113808804007</v>
      </c>
      <c r="AL95" s="360">
        <f t="shared" si="104"/>
        <v>0.14159039999999998</v>
      </c>
      <c r="AM95" s="360">
        <f t="shared" si="105"/>
        <v>2.2755599999999996</v>
      </c>
      <c r="AN95" s="360">
        <f t="shared" si="106"/>
        <v>0.1215929964523652</v>
      </c>
      <c r="AO95" s="360">
        <f t="shared" si="107"/>
        <v>7.3499999999999998E-4</v>
      </c>
      <c r="AP95" s="360">
        <f t="shared" si="108"/>
        <v>0.34650000000000003</v>
      </c>
      <c r="AQ95" s="360">
        <f t="shared" si="109"/>
        <v>1.3167</v>
      </c>
      <c r="AR95" s="360">
        <f t="shared" si="110"/>
        <v>1.1088</v>
      </c>
      <c r="AS95" s="360">
        <f t="shared" si="133"/>
        <v>0.34723500000000002</v>
      </c>
      <c r="AT95" s="360">
        <f t="shared" si="111"/>
        <v>4.3356201080338161</v>
      </c>
      <c r="AU95">
        <f t="shared" si="112"/>
        <v>11.351999999999999</v>
      </c>
      <c r="AV95" s="542">
        <f t="shared" si="127"/>
        <v>0.7236279258309235</v>
      </c>
      <c r="AW95" s="551">
        <f t="shared" si="113"/>
        <v>120.94430025692469</v>
      </c>
      <c r="AX95" s="551">
        <f t="shared" si="114"/>
        <v>34.911205647345518</v>
      </c>
      <c r="AY95" s="9"/>
      <c r="AZ95" s="4">
        <f t="shared" si="128"/>
        <v>72.362792583092357</v>
      </c>
      <c r="BA95" s="360">
        <f t="shared" si="115"/>
        <v>0.36255988795296801</v>
      </c>
      <c r="BB95" s="360">
        <f t="shared" si="129"/>
        <v>3.3603575432265336</v>
      </c>
      <c r="BC95" s="360">
        <f t="shared" si="130"/>
        <v>2.4188860051384937</v>
      </c>
      <c r="BD95" s="360">
        <f t="shared" si="131"/>
        <v>0.91871593808803997</v>
      </c>
      <c r="BE95" s="360">
        <f t="shared" si="132"/>
        <v>0.1215929964523652</v>
      </c>
      <c r="BK95" s="18"/>
      <c r="BL95" s="19"/>
    </row>
    <row r="96" spans="1:64" x14ac:dyDescent="0.2">
      <c r="G96">
        <v>87</v>
      </c>
      <c r="H96" s="548">
        <f t="shared" si="85"/>
        <v>21</v>
      </c>
      <c r="I96" s="4">
        <f t="shared" si="86"/>
        <v>1</v>
      </c>
      <c r="J96" s="360">
        <f t="shared" si="116"/>
        <v>3.48</v>
      </c>
      <c r="K96" s="360">
        <f t="shared" si="87"/>
        <v>3.48</v>
      </c>
      <c r="L96" s="4">
        <f t="shared" si="88"/>
        <v>0.6076190476190475</v>
      </c>
      <c r="M96" s="360">
        <f t="shared" si="89"/>
        <v>0.1598706536102541</v>
      </c>
      <c r="N96" s="4">
        <f t="shared" si="90"/>
        <v>1.9773044259672943</v>
      </c>
      <c r="O96" s="4">
        <f t="shared" si="117"/>
        <v>4.4686522129836472</v>
      </c>
      <c r="P96" s="4">
        <f t="shared" si="118"/>
        <v>2.4913477870163527</v>
      </c>
      <c r="Q96" s="4">
        <f t="shared" si="91"/>
        <v>0</v>
      </c>
      <c r="R96" s="4">
        <f t="shared" si="119"/>
        <v>3.5265012499755555</v>
      </c>
      <c r="S96" s="360">
        <f t="shared" si="92"/>
        <v>6.2181055330395772E-2</v>
      </c>
      <c r="T96" s="360">
        <f t="shared" si="93"/>
        <v>0.3</v>
      </c>
      <c r="U96" s="360">
        <f t="shared" si="94"/>
        <v>0.36399172650524608</v>
      </c>
      <c r="V96" s="4">
        <f t="shared" si="120"/>
        <v>0.57079862130102799</v>
      </c>
      <c r="W96" s="360">
        <f t="shared" si="121"/>
        <v>6.5162213215830874E-4</v>
      </c>
      <c r="X96" s="360">
        <f t="shared" si="122"/>
        <v>6.5162213215830874E-4</v>
      </c>
      <c r="Y96" s="4">
        <f t="shared" si="123"/>
        <v>1.2924135272793926</v>
      </c>
      <c r="Z96" s="360">
        <f t="shared" si="124"/>
        <v>1.6703327254947613E-3</v>
      </c>
      <c r="AA96" s="541">
        <f t="shared" si="125"/>
        <v>1.6703327254947613E-3</v>
      </c>
      <c r="AB96" s="360">
        <f t="shared" si="126"/>
        <v>1.4100302094526731</v>
      </c>
      <c r="AC96" s="360">
        <f t="shared" si="95"/>
        <v>1.1929111149414895E-2</v>
      </c>
      <c r="AD96" s="360">
        <f t="shared" si="96"/>
        <v>0.27189709963500813</v>
      </c>
      <c r="AE96" s="360">
        <f t="shared" si="97"/>
        <v>0.63444464999999983</v>
      </c>
      <c r="AF96" s="360">
        <f t="shared" si="98"/>
        <v>0</v>
      </c>
      <c r="AG96" s="360">
        <f t="shared" si="99"/>
        <v>0.9204669312508732</v>
      </c>
      <c r="AH96" s="360">
        <f t="shared" si="100"/>
        <v>3.2323406185781236</v>
      </c>
      <c r="AI96" s="360">
        <f t="shared" si="101"/>
        <v>2.6120064686275018E-2</v>
      </c>
      <c r="AJ96" s="360">
        <f t="shared" si="102"/>
        <v>0.14323679999999997</v>
      </c>
      <c r="AK96" s="360">
        <f t="shared" si="103"/>
        <v>0.17003193394350216</v>
      </c>
      <c r="AL96" s="360">
        <f t="shared" si="104"/>
        <v>0.14323679999999997</v>
      </c>
      <c r="AM96" s="360">
        <f t="shared" si="105"/>
        <v>2.3020199999999997</v>
      </c>
      <c r="AN96" s="360">
        <f t="shared" si="106"/>
        <v>0.12436211066079154</v>
      </c>
      <c r="AO96" s="360">
        <f t="shared" si="107"/>
        <v>7.3499999999999998E-4</v>
      </c>
      <c r="AP96" s="360">
        <f t="shared" si="108"/>
        <v>0.34650000000000003</v>
      </c>
      <c r="AQ96" s="360">
        <f t="shared" si="109"/>
        <v>1.3167</v>
      </c>
      <c r="AR96" s="360">
        <f t="shared" si="110"/>
        <v>1.1088</v>
      </c>
      <c r="AS96" s="360">
        <f t="shared" si="133"/>
        <v>0.34723500000000002</v>
      </c>
      <c r="AT96" s="360">
        <f t="shared" si="111"/>
        <v>4.3736664572180661</v>
      </c>
      <c r="AU96">
        <f t="shared" si="112"/>
        <v>11.484</v>
      </c>
      <c r="AV96" s="542">
        <f t="shared" si="127"/>
        <v>0.72419230351340458</v>
      </c>
      <c r="AW96" s="551">
        <f t="shared" si="113"/>
        <v>121.99000656254367</v>
      </c>
      <c r="AX96" s="551">
        <f t="shared" si="114"/>
        <v>35.328544289853077</v>
      </c>
      <c r="AY96" s="9"/>
      <c r="AZ96" s="4">
        <f t="shared" si="128"/>
        <v>72.41923035134046</v>
      </c>
      <c r="BA96" s="360">
        <f t="shared" si="115"/>
        <v>0.36399172650524608</v>
      </c>
      <c r="BB96" s="360">
        <f t="shared" si="129"/>
        <v>3.3925188651943752</v>
      </c>
      <c r="BC96" s="360">
        <f t="shared" si="130"/>
        <v>2.4398001312508732</v>
      </c>
      <c r="BD96" s="360">
        <f t="shared" si="131"/>
        <v>0.9296985339435021</v>
      </c>
      <c r="BE96" s="360">
        <f t="shared" si="132"/>
        <v>0.12436211066079154</v>
      </c>
      <c r="BK96" s="18"/>
      <c r="BL96" s="19"/>
    </row>
    <row r="97" spans="7:64" x14ac:dyDescent="0.2">
      <c r="G97">
        <v>88</v>
      </c>
      <c r="H97" s="548">
        <f t="shared" si="85"/>
        <v>21</v>
      </c>
      <c r="I97" s="4">
        <f t="shared" si="86"/>
        <v>1</v>
      </c>
      <c r="J97" s="360">
        <f t="shared" si="116"/>
        <v>3.52</v>
      </c>
      <c r="K97" s="360">
        <f t="shared" si="87"/>
        <v>3.52</v>
      </c>
      <c r="L97" s="4">
        <f t="shared" si="88"/>
        <v>0.61460317460317448</v>
      </c>
      <c r="M97" s="360">
        <f t="shared" si="89"/>
        <v>0.15990197346890625</v>
      </c>
      <c r="N97" s="4">
        <f t="shared" si="90"/>
        <v>1.9776425252009271</v>
      </c>
      <c r="O97" s="4">
        <f t="shared" si="117"/>
        <v>4.5088212626004633</v>
      </c>
      <c r="P97" s="4">
        <f t="shared" si="118"/>
        <v>2.5311787373995367</v>
      </c>
      <c r="Q97" s="4">
        <f t="shared" si="91"/>
        <v>0</v>
      </c>
      <c r="R97" s="4">
        <f t="shared" si="119"/>
        <v>3.5659953023604678</v>
      </c>
      <c r="S97" s="360">
        <f t="shared" si="92"/>
        <v>6.3581612482284625E-2</v>
      </c>
      <c r="T97" s="360">
        <f t="shared" si="93"/>
        <v>0.3</v>
      </c>
      <c r="U97" s="360">
        <f t="shared" si="94"/>
        <v>0.36544043585652353</v>
      </c>
      <c r="V97" s="4">
        <f t="shared" si="120"/>
        <v>0.57089622214280333</v>
      </c>
      <c r="W97" s="360">
        <f t="shared" si="121"/>
        <v>6.5184499291385015E-4</v>
      </c>
      <c r="X97" s="360">
        <f t="shared" si="122"/>
        <v>6.5184499291385015E-4</v>
      </c>
      <c r="Y97" s="4">
        <f t="shared" si="123"/>
        <v>1.306991192082773</v>
      </c>
      <c r="Z97" s="360">
        <f t="shared" si="124"/>
        <v>1.7082259761819481E-3</v>
      </c>
      <c r="AA97" s="541">
        <f t="shared" si="125"/>
        <v>1.7082259761819481E-3</v>
      </c>
      <c r="AB97" s="360">
        <f t="shared" si="126"/>
        <v>1.4259611013104498</v>
      </c>
      <c r="AC97" s="360">
        <f t="shared" si="95"/>
        <v>1.2200190374703065E-2</v>
      </c>
      <c r="AD97" s="360">
        <f t="shared" si="96"/>
        <v>0.27502235365380134</v>
      </c>
      <c r="AE97" s="360">
        <f t="shared" si="97"/>
        <v>0.63444464999999983</v>
      </c>
      <c r="AF97" s="360">
        <f t="shared" si="98"/>
        <v>0</v>
      </c>
      <c r="AG97" s="360">
        <f t="shared" si="99"/>
        <v>0.92392159790565409</v>
      </c>
      <c r="AH97" s="360">
        <f t="shared" si="100"/>
        <v>3.2684793764083038</v>
      </c>
      <c r="AI97" s="360">
        <f t="shared" si="101"/>
        <v>2.6707393585016038E-2</v>
      </c>
      <c r="AJ97" s="360">
        <f t="shared" si="102"/>
        <v>0.14488319999999999</v>
      </c>
      <c r="AK97" s="360">
        <f t="shared" si="103"/>
        <v>0.17229000898127161</v>
      </c>
      <c r="AL97" s="360">
        <f t="shared" si="104"/>
        <v>0.14488319999999999</v>
      </c>
      <c r="AM97" s="360">
        <f t="shared" si="105"/>
        <v>2.3284799999999999</v>
      </c>
      <c r="AN97" s="360">
        <f t="shared" si="106"/>
        <v>0.12716322496456925</v>
      </c>
      <c r="AO97" s="360">
        <f t="shared" si="107"/>
        <v>7.3499999999999998E-4</v>
      </c>
      <c r="AP97" s="360">
        <f t="shared" si="108"/>
        <v>0.34650000000000003</v>
      </c>
      <c r="AQ97" s="360">
        <f t="shared" si="109"/>
        <v>1.3167</v>
      </c>
      <c r="AR97" s="360">
        <f t="shared" si="110"/>
        <v>1.1088</v>
      </c>
      <c r="AS97" s="360">
        <f t="shared" si="133"/>
        <v>0.34723500000000002</v>
      </c>
      <c r="AT97" s="360">
        <f t="shared" si="111"/>
        <v>4.4117735386771146</v>
      </c>
      <c r="AU97">
        <f t="shared" si="112"/>
        <v>11.616</v>
      </c>
      <c r="AV97" s="542">
        <f t="shared" si="127"/>
        <v>0.7247419594473975</v>
      </c>
      <c r="AW97" s="551">
        <f t="shared" si="113"/>
        <v>123.0359198952827</v>
      </c>
      <c r="AX97" s="551">
        <f t="shared" si="114"/>
        <v>35.746159541288321</v>
      </c>
      <c r="AY97" s="9"/>
      <c r="AZ97" s="4">
        <f t="shared" si="128"/>
        <v>72.474195944739748</v>
      </c>
      <c r="BA97" s="360">
        <f t="shared" si="115"/>
        <v>0.36544043585652353</v>
      </c>
      <c r="BB97" s="360">
        <f t="shared" si="129"/>
        <v>3.4246916068869258</v>
      </c>
      <c r="BC97" s="360">
        <f t="shared" si="130"/>
        <v>2.4607183979056542</v>
      </c>
      <c r="BD97" s="360">
        <f t="shared" si="131"/>
        <v>0.94068840898127171</v>
      </c>
      <c r="BE97" s="360">
        <f t="shared" si="132"/>
        <v>0.12716322496456925</v>
      </c>
      <c r="BK97" s="18"/>
      <c r="BL97" s="19"/>
    </row>
    <row r="98" spans="7:64" x14ac:dyDescent="0.2">
      <c r="G98">
        <v>89</v>
      </c>
      <c r="H98" s="548">
        <f t="shared" si="85"/>
        <v>21</v>
      </c>
      <c r="I98" s="4">
        <f t="shared" si="86"/>
        <v>1</v>
      </c>
      <c r="J98" s="360">
        <f t="shared" si="116"/>
        <v>3.56</v>
      </c>
      <c r="K98" s="360">
        <f t="shared" si="87"/>
        <v>3.56</v>
      </c>
      <c r="L98" s="4">
        <f t="shared" si="88"/>
        <v>0.62158730158730147</v>
      </c>
      <c r="M98" s="360">
        <f t="shared" si="89"/>
        <v>0.15993329255287267</v>
      </c>
      <c r="N98" s="4">
        <f t="shared" si="90"/>
        <v>1.977980595552854</v>
      </c>
      <c r="O98" s="4">
        <f t="shared" si="117"/>
        <v>4.5489902977764274</v>
      </c>
      <c r="P98" s="4">
        <f t="shared" si="118"/>
        <v>2.5710097022235732</v>
      </c>
      <c r="Q98" s="4">
        <f t="shared" si="91"/>
        <v>0</v>
      </c>
      <c r="R98" s="4">
        <f t="shared" si="119"/>
        <v>3.6055005112141232</v>
      </c>
      <c r="S98" s="360">
        <f t="shared" si="92"/>
        <v>6.499816968182652E-2</v>
      </c>
      <c r="T98" s="360">
        <f t="shared" si="93"/>
        <v>0.3</v>
      </c>
      <c r="U98" s="360">
        <f t="shared" si="94"/>
        <v>0.3669060272994018</v>
      </c>
      <c r="V98" s="4">
        <f t="shared" si="120"/>
        <v>0.57099381464714827</v>
      </c>
      <c r="W98" s="360">
        <f t="shared" si="121"/>
        <v>6.5206787273060381E-4</v>
      </c>
      <c r="X98" s="360">
        <f t="shared" si="122"/>
        <v>6.5206787273060381E-4</v>
      </c>
      <c r="Y98" s="4">
        <f t="shared" si="123"/>
        <v>1.3215752214584953</v>
      </c>
      <c r="Z98" s="360">
        <f t="shared" si="124"/>
        <v>1.7465610659730707E-3</v>
      </c>
      <c r="AA98" s="541">
        <f t="shared" si="125"/>
        <v>1.7465610659730707E-3</v>
      </c>
      <c r="AB98" s="360">
        <f t="shared" si="126"/>
        <v>1.4418995309746667</v>
      </c>
      <c r="AC98" s="360">
        <f t="shared" si="95"/>
        <v>1.2474445544549783E-2</v>
      </c>
      <c r="AD98" s="360">
        <f t="shared" si="96"/>
        <v>0.2781476076725945</v>
      </c>
      <c r="AE98" s="360">
        <f t="shared" si="97"/>
        <v>0.63444464999999983</v>
      </c>
      <c r="AF98" s="360">
        <f t="shared" si="98"/>
        <v>0</v>
      </c>
      <c r="AG98" s="360">
        <f t="shared" si="99"/>
        <v>0.92738041451312936</v>
      </c>
      <c r="AH98" s="360">
        <f t="shared" si="100"/>
        <v>3.3046270105626654</v>
      </c>
      <c r="AI98" s="360">
        <f t="shared" si="101"/>
        <v>2.7301399197350848E-2</v>
      </c>
      <c r="AJ98" s="360">
        <f t="shared" si="102"/>
        <v>0.14652959999999998</v>
      </c>
      <c r="AK98" s="360">
        <f t="shared" si="103"/>
        <v>0.1745553712901432</v>
      </c>
      <c r="AL98" s="360">
        <f t="shared" si="104"/>
        <v>0.14652959999999998</v>
      </c>
      <c r="AM98" s="360">
        <f t="shared" si="105"/>
        <v>2.3549399999999996</v>
      </c>
      <c r="AN98" s="360">
        <f t="shared" si="106"/>
        <v>0.12999633936365304</v>
      </c>
      <c r="AO98" s="360">
        <f t="shared" si="107"/>
        <v>7.3499999999999998E-4</v>
      </c>
      <c r="AP98" s="360">
        <f t="shared" si="108"/>
        <v>0.34650000000000003</v>
      </c>
      <c r="AQ98" s="360">
        <f t="shared" si="109"/>
        <v>1.3167</v>
      </c>
      <c r="AR98" s="360">
        <f t="shared" si="110"/>
        <v>1.1088</v>
      </c>
      <c r="AS98" s="360">
        <f t="shared" si="133"/>
        <v>0.34723500000000002</v>
      </c>
      <c r="AT98" s="360">
        <f t="shared" si="111"/>
        <v>4.449941381405031</v>
      </c>
      <c r="AU98">
        <f t="shared" si="112"/>
        <v>11.747999999999999</v>
      </c>
      <c r="AV98" s="542">
        <f t="shared" si="127"/>
        <v>0.72527734996537951</v>
      </c>
      <c r="AW98" s="551">
        <f t="shared" si="113"/>
        <v>124.08204072565646</v>
      </c>
      <c r="AX98" s="551">
        <f t="shared" si="114"/>
        <v>36.164051709025436</v>
      </c>
      <c r="AY98" s="9"/>
      <c r="AZ98" s="4">
        <f t="shared" si="128"/>
        <v>72.527734996537959</v>
      </c>
      <c r="BA98" s="360">
        <f t="shared" si="115"/>
        <v>0.3669060272994018</v>
      </c>
      <c r="BB98" s="360">
        <f t="shared" si="129"/>
        <v>3.4568757858032724</v>
      </c>
      <c r="BC98" s="360">
        <f t="shared" si="130"/>
        <v>2.481640814513129</v>
      </c>
      <c r="BD98" s="360">
        <f t="shared" si="131"/>
        <v>0.95168557129014308</v>
      </c>
      <c r="BE98" s="360">
        <f t="shared" si="132"/>
        <v>0.12999633936365304</v>
      </c>
      <c r="BK98" s="18"/>
      <c r="BL98" s="19"/>
    </row>
    <row r="99" spans="7:64" x14ac:dyDescent="0.2">
      <c r="G99">
        <v>90</v>
      </c>
      <c r="H99" s="548">
        <f t="shared" si="85"/>
        <v>21</v>
      </c>
      <c r="I99" s="4">
        <f t="shared" si="86"/>
        <v>1</v>
      </c>
      <c r="J99" s="360">
        <f t="shared" si="116"/>
        <v>3.6</v>
      </c>
      <c r="K99" s="360">
        <f t="shared" si="87"/>
        <v>3.6</v>
      </c>
      <c r="L99" s="4">
        <f t="shared" si="88"/>
        <v>0.62857142857142845</v>
      </c>
      <c r="M99" s="360">
        <f t="shared" si="89"/>
        <v>0.15996461086218214</v>
      </c>
      <c r="N99" s="4">
        <f t="shared" si="90"/>
        <v>1.9783186370241466</v>
      </c>
      <c r="O99" s="4">
        <f t="shared" si="117"/>
        <v>4.5891593185120731</v>
      </c>
      <c r="P99" s="4">
        <f t="shared" si="118"/>
        <v>2.610840681487927</v>
      </c>
      <c r="Q99" s="4">
        <f t="shared" si="91"/>
        <v>0</v>
      </c>
      <c r="R99" s="4">
        <f t="shared" si="119"/>
        <v>3.6450165137897192</v>
      </c>
      <c r="S99" s="360">
        <f t="shared" si="92"/>
        <v>6.643072692899879E-2</v>
      </c>
      <c r="T99" s="360">
        <f t="shared" si="93"/>
        <v>0.3</v>
      </c>
      <c r="U99" s="360">
        <f t="shared" si="94"/>
        <v>0.36838851226194708</v>
      </c>
      <c r="V99" s="4">
        <f t="shared" si="120"/>
        <v>0.57109139881437232</v>
      </c>
      <c r="W99" s="360">
        <f t="shared" si="121"/>
        <v>6.5229077159951294E-4</v>
      </c>
      <c r="X99" s="360">
        <f t="shared" si="122"/>
        <v>6.5229077159951294E-4</v>
      </c>
      <c r="Y99" s="4">
        <f t="shared" si="123"/>
        <v>1.3361654827361584</v>
      </c>
      <c r="Z99" s="360">
        <f t="shared" si="124"/>
        <v>1.7853381972555513E-3</v>
      </c>
      <c r="AA99" s="541">
        <f t="shared" si="125"/>
        <v>1.7853381972555513E-3</v>
      </c>
      <c r="AB99" s="360">
        <f t="shared" si="126"/>
        <v>1.4578453541092193</v>
      </c>
      <c r="AC99" s="360">
        <f t="shared" si="95"/>
        <v>1.2751878458987009E-2</v>
      </c>
      <c r="AD99" s="360">
        <f t="shared" si="96"/>
        <v>0.28127286169138777</v>
      </c>
      <c r="AE99" s="360">
        <f t="shared" si="97"/>
        <v>0.63444464999999983</v>
      </c>
      <c r="AF99" s="360">
        <f t="shared" si="98"/>
        <v>0</v>
      </c>
      <c r="AG99" s="360">
        <f t="shared" si="99"/>
        <v>0.93084339050639242</v>
      </c>
      <c r="AH99" s="360">
        <f t="shared" si="100"/>
        <v>3.3407831880117458</v>
      </c>
      <c r="AI99" s="360">
        <f t="shared" si="101"/>
        <v>2.790208077325481E-2</v>
      </c>
      <c r="AJ99" s="360">
        <f t="shared" si="102"/>
        <v>0.14817599999999997</v>
      </c>
      <c r="AK99" s="360">
        <f t="shared" si="103"/>
        <v>0.17682802900539396</v>
      </c>
      <c r="AL99" s="360">
        <f t="shared" si="104"/>
        <v>0.14817599999999997</v>
      </c>
      <c r="AM99" s="360">
        <f t="shared" si="105"/>
        <v>2.3813999999999997</v>
      </c>
      <c r="AN99" s="360">
        <f t="shared" si="106"/>
        <v>0.13286145385799758</v>
      </c>
      <c r="AO99" s="360">
        <f t="shared" si="107"/>
        <v>7.3499999999999998E-4</v>
      </c>
      <c r="AP99" s="360">
        <f t="shared" si="108"/>
        <v>0.34650000000000003</v>
      </c>
      <c r="AQ99" s="360">
        <f t="shared" si="109"/>
        <v>1.3167</v>
      </c>
      <c r="AR99" s="360">
        <f t="shared" si="110"/>
        <v>1.1088</v>
      </c>
      <c r="AS99" s="360">
        <f t="shared" si="133"/>
        <v>0.34723500000000002</v>
      </c>
      <c r="AT99" s="360">
        <f t="shared" si="111"/>
        <v>4.4881700146005858</v>
      </c>
      <c r="AU99">
        <f t="shared" si="112"/>
        <v>11.879999999999999</v>
      </c>
      <c r="AV99" s="542">
        <f t="shared" si="127"/>
        <v>0.72579891273141162</v>
      </c>
      <c r="AW99" s="551">
        <f t="shared" si="113"/>
        <v>125.12836952531963</v>
      </c>
      <c r="AX99" s="551">
        <f t="shared" si="114"/>
        <v>36.582221102204969</v>
      </c>
      <c r="AY99" s="9"/>
      <c r="AZ99" s="4">
        <f t="shared" si="128"/>
        <v>72.579891273141158</v>
      </c>
      <c r="BA99" s="360">
        <f t="shared" si="115"/>
        <v>0.36838851226194708</v>
      </c>
      <c r="BB99" s="360">
        <f t="shared" si="129"/>
        <v>3.4890714195117862</v>
      </c>
      <c r="BC99" s="360">
        <f t="shared" si="130"/>
        <v>2.5025673905063925</v>
      </c>
      <c r="BD99" s="360">
        <f t="shared" si="131"/>
        <v>0.96269002900539391</v>
      </c>
      <c r="BE99" s="360">
        <f t="shared" si="132"/>
        <v>0.13286145385799758</v>
      </c>
      <c r="BK99" s="18"/>
      <c r="BL99" s="19"/>
    </row>
    <row r="100" spans="7:64" x14ac:dyDescent="0.2">
      <c r="G100">
        <v>91</v>
      </c>
      <c r="H100" s="548">
        <f t="shared" si="85"/>
        <v>21</v>
      </c>
      <c r="I100" s="4">
        <f t="shared" si="86"/>
        <v>1</v>
      </c>
      <c r="J100" s="360">
        <f t="shared" si="116"/>
        <v>3.64</v>
      </c>
      <c r="K100" s="360">
        <f t="shared" si="87"/>
        <v>3.64</v>
      </c>
      <c r="L100" s="4">
        <f t="shared" si="88"/>
        <v>0.63555555555555554</v>
      </c>
      <c r="M100" s="360">
        <f t="shared" si="89"/>
        <v>0.15999592839686333</v>
      </c>
      <c r="N100" s="4">
        <f t="shared" si="90"/>
        <v>1.9786566496158753</v>
      </c>
      <c r="O100" s="4">
        <f t="shared" si="117"/>
        <v>4.629328324807938</v>
      </c>
      <c r="P100" s="4">
        <f t="shared" si="118"/>
        <v>2.6506716751920623</v>
      </c>
      <c r="Q100" s="4">
        <f t="shared" si="91"/>
        <v>0</v>
      </c>
      <c r="R100" s="4">
        <f t="shared" si="119"/>
        <v>3.6845429628049882</v>
      </c>
      <c r="S100" s="360">
        <f t="shared" si="92"/>
        <v>6.7879284223778799E-2</v>
      </c>
      <c r="T100" s="360">
        <f t="shared" si="93"/>
        <v>0.3</v>
      </c>
      <c r="U100" s="360">
        <f t="shared" si="94"/>
        <v>0.36988790230791452</v>
      </c>
      <c r="V100" s="4">
        <f t="shared" si="120"/>
        <v>0.57118897464478435</v>
      </c>
      <c r="W100" s="360">
        <f t="shared" si="121"/>
        <v>6.5251368951152022E-4</v>
      </c>
      <c r="X100" s="360">
        <f t="shared" si="122"/>
        <v>6.5251368951152022E-4</v>
      </c>
      <c r="Y100" s="4">
        <f t="shared" si="123"/>
        <v>1.350761848872414</v>
      </c>
      <c r="Z100" s="360">
        <f t="shared" si="124"/>
        <v>1.8245575723692222E-3</v>
      </c>
      <c r="AA100" s="541">
        <f t="shared" si="125"/>
        <v>1.8245575723692222E-3</v>
      </c>
      <c r="AB100" s="360">
        <f t="shared" si="126"/>
        <v>1.473798432506837</v>
      </c>
      <c r="AC100" s="360">
        <f t="shared" si="95"/>
        <v>1.3032490917957657E-2</v>
      </c>
      <c r="AD100" s="360">
        <f t="shared" si="96"/>
        <v>0.28439811571018092</v>
      </c>
      <c r="AE100" s="360">
        <f t="shared" si="97"/>
        <v>0.63444464999999983</v>
      </c>
      <c r="AF100" s="360">
        <f t="shared" si="98"/>
        <v>0</v>
      </c>
      <c r="AG100" s="360">
        <f t="shared" si="99"/>
        <v>0.93431053534141617</v>
      </c>
      <c r="AH100" s="360">
        <f t="shared" si="100"/>
        <v>3.3769475899243906</v>
      </c>
      <c r="AI100" s="360">
        <f t="shared" si="101"/>
        <v>2.8509437562740377E-2</v>
      </c>
      <c r="AJ100" s="360">
        <f t="shared" si="102"/>
        <v>0.14982239999999999</v>
      </c>
      <c r="AK100" s="360">
        <f t="shared" si="103"/>
        <v>0.17910799030887858</v>
      </c>
      <c r="AL100" s="360">
        <f t="shared" si="104"/>
        <v>0.14982239999999999</v>
      </c>
      <c r="AM100" s="360">
        <f t="shared" si="105"/>
        <v>2.4078599999999999</v>
      </c>
      <c r="AN100" s="360">
        <f t="shared" si="106"/>
        <v>0.1357585684475576</v>
      </c>
      <c r="AO100" s="360">
        <f t="shared" si="107"/>
        <v>7.3499999999999998E-4</v>
      </c>
      <c r="AP100" s="360">
        <f t="shared" si="108"/>
        <v>0.34650000000000003</v>
      </c>
      <c r="AQ100" s="360">
        <f t="shared" si="109"/>
        <v>1.3167</v>
      </c>
      <c r="AR100" s="360">
        <f t="shared" si="110"/>
        <v>1.1088</v>
      </c>
      <c r="AS100" s="360">
        <f t="shared" si="133"/>
        <v>0.34723500000000002</v>
      </c>
      <c r="AT100" s="360">
        <f t="shared" si="111"/>
        <v>4.5264594676676477</v>
      </c>
      <c r="AU100">
        <f t="shared" si="112"/>
        <v>12.012</v>
      </c>
      <c r="AV100" s="542">
        <f t="shared" si="127"/>
        <v>0.72630706768567022</v>
      </c>
      <c r="AW100" s="551">
        <f t="shared" si="113"/>
        <v>126.17490676707081</v>
      </c>
      <c r="AX100" s="551">
        <f t="shared" si="114"/>
        <v>37.000668031737384</v>
      </c>
      <c r="AY100" s="9"/>
      <c r="AZ100" s="4">
        <f t="shared" si="128"/>
        <v>72.630706768567023</v>
      </c>
      <c r="BA100" s="360">
        <f t="shared" si="115"/>
        <v>0.36988790230791452</v>
      </c>
      <c r="BB100" s="360">
        <f t="shared" si="129"/>
        <v>3.5212785256502945</v>
      </c>
      <c r="BC100" s="360">
        <f t="shared" si="130"/>
        <v>2.5234981353414163</v>
      </c>
      <c r="BD100" s="360">
        <f t="shared" si="131"/>
        <v>0.9737017903088786</v>
      </c>
      <c r="BE100" s="360">
        <f t="shared" si="132"/>
        <v>0.1357585684475576</v>
      </c>
      <c r="BK100" s="18"/>
      <c r="BL100" s="19"/>
    </row>
    <row r="101" spans="7:64" x14ac:dyDescent="0.2">
      <c r="G101">
        <v>92</v>
      </c>
      <c r="H101" s="548">
        <f t="shared" si="85"/>
        <v>21</v>
      </c>
      <c r="I101" s="4">
        <f t="shared" si="86"/>
        <v>1</v>
      </c>
      <c r="J101" s="360">
        <f t="shared" si="116"/>
        <v>3.68</v>
      </c>
      <c r="K101" s="360">
        <f t="shared" si="87"/>
        <v>3.68</v>
      </c>
      <c r="L101" s="4">
        <f t="shared" si="88"/>
        <v>0.64253968253968252</v>
      </c>
      <c r="M101" s="360">
        <f t="shared" si="89"/>
        <v>0.16002724515694502</v>
      </c>
      <c r="N101" s="4">
        <f t="shared" si="90"/>
        <v>1.9789946333291131</v>
      </c>
      <c r="O101" s="4">
        <f t="shared" si="117"/>
        <v>4.6694973166645566</v>
      </c>
      <c r="P101" s="4">
        <f t="shared" si="118"/>
        <v>2.6905026833354437</v>
      </c>
      <c r="Q101" s="4">
        <f t="shared" si="91"/>
        <v>0</v>
      </c>
      <c r="R101" s="4">
        <f t="shared" si="119"/>
        <v>3.7240795256316406</v>
      </c>
      <c r="S101" s="360">
        <f t="shared" si="92"/>
        <v>6.9343841566143927E-2</v>
      </c>
      <c r="T101" s="360">
        <f t="shared" si="93"/>
        <v>0.3</v>
      </c>
      <c r="U101" s="360">
        <f t="shared" si="94"/>
        <v>0.37140420913697542</v>
      </c>
      <c r="V101" s="4">
        <f t="shared" si="120"/>
        <v>0.57128654213869412</v>
      </c>
      <c r="W101" s="360">
        <f t="shared" si="121"/>
        <v>6.5273662645757191E-4</v>
      </c>
      <c r="X101" s="360">
        <f t="shared" si="122"/>
        <v>6.5273662645757191E-4</v>
      </c>
      <c r="Y101" s="4">
        <f t="shared" si="123"/>
        <v>1.3653641981560543</v>
      </c>
      <c r="Z101" s="360">
        <f t="shared" si="124"/>
        <v>1.8642193936063249E-3</v>
      </c>
      <c r="AA101" s="541">
        <f t="shared" si="125"/>
        <v>1.8642193936063249E-3</v>
      </c>
      <c r="AB101" s="360">
        <f t="shared" si="126"/>
        <v>1.4897586337678776</v>
      </c>
      <c r="AC101" s="360">
        <f t="shared" si="95"/>
        <v>1.33162847213156E-2</v>
      </c>
      <c r="AD101" s="360">
        <f t="shared" si="96"/>
        <v>0.28752336972897408</v>
      </c>
      <c r="AE101" s="360">
        <f t="shared" si="97"/>
        <v>0.63444464999999983</v>
      </c>
      <c r="AF101" s="360">
        <f t="shared" si="98"/>
        <v>0</v>
      </c>
      <c r="AG101" s="360">
        <f t="shared" si="99"/>
        <v>0.93778185849713602</v>
      </c>
      <c r="AH101" s="360">
        <f t="shared" si="100"/>
        <v>3.4131199109235606</v>
      </c>
      <c r="AI101" s="360">
        <f t="shared" si="101"/>
        <v>2.9123468815857138E-2</v>
      </c>
      <c r="AJ101" s="360">
        <f t="shared" si="102"/>
        <v>0.15146879999999999</v>
      </c>
      <c r="AK101" s="360">
        <f t="shared" si="103"/>
        <v>0.18139526342912612</v>
      </c>
      <c r="AL101" s="360">
        <f t="shared" si="104"/>
        <v>0.15146879999999999</v>
      </c>
      <c r="AM101" s="360">
        <f t="shared" si="105"/>
        <v>2.43432</v>
      </c>
      <c r="AN101" s="360">
        <f t="shared" si="106"/>
        <v>0.13868768313228785</v>
      </c>
      <c r="AO101" s="360">
        <f t="shared" si="107"/>
        <v>7.3499999999999998E-4</v>
      </c>
      <c r="AP101" s="360">
        <f t="shared" si="108"/>
        <v>0.34650000000000003</v>
      </c>
      <c r="AQ101" s="360">
        <f t="shared" si="109"/>
        <v>1.3167</v>
      </c>
      <c r="AR101" s="360">
        <f t="shared" si="110"/>
        <v>1.1088</v>
      </c>
      <c r="AS101" s="360">
        <f t="shared" si="133"/>
        <v>0.34723500000000002</v>
      </c>
      <c r="AT101" s="360">
        <f t="shared" si="111"/>
        <v>4.5648097702155894</v>
      </c>
      <c r="AU101">
        <f t="shared" si="112"/>
        <v>12.144</v>
      </c>
      <c r="AV101" s="542">
        <f t="shared" si="127"/>
        <v>0.7268022179322059</v>
      </c>
      <c r="AW101" s="551">
        <f t="shared" si="113"/>
        <v>127.22165292485681</v>
      </c>
      <c r="AX101" s="551">
        <f t="shared" si="114"/>
        <v>37.419392810306796</v>
      </c>
      <c r="AY101" s="9"/>
      <c r="AZ101" s="4">
        <f t="shared" si="128"/>
        <v>72.680221793220596</v>
      </c>
      <c r="BA101" s="360">
        <f t="shared" si="115"/>
        <v>0.37140420913697542</v>
      </c>
      <c r="BB101" s="360">
        <f t="shared" si="129"/>
        <v>3.5534971219262621</v>
      </c>
      <c r="BC101" s="360">
        <f t="shared" si="130"/>
        <v>2.5444330584971362</v>
      </c>
      <c r="BD101" s="360">
        <f t="shared" si="131"/>
        <v>0.98472086342912624</v>
      </c>
      <c r="BE101" s="360">
        <f t="shared" si="132"/>
        <v>0.13868768313228785</v>
      </c>
      <c r="BK101" s="18"/>
      <c r="BL101" s="19"/>
    </row>
    <row r="102" spans="7:64" x14ac:dyDescent="0.2">
      <c r="G102">
        <v>93</v>
      </c>
      <c r="H102" s="548">
        <f t="shared" si="85"/>
        <v>21</v>
      </c>
      <c r="I102" s="4">
        <f t="shared" si="86"/>
        <v>1</v>
      </c>
      <c r="J102" s="360">
        <f t="shared" si="116"/>
        <v>3.72</v>
      </c>
      <c r="K102" s="360">
        <f t="shared" si="87"/>
        <v>3.72</v>
      </c>
      <c r="L102" s="4">
        <f t="shared" si="88"/>
        <v>0.64952380952380939</v>
      </c>
      <c r="M102" s="360">
        <f t="shared" si="89"/>
        <v>0.16005856114245595</v>
      </c>
      <c r="N102" s="4">
        <f t="shared" si="90"/>
        <v>1.9793325881649304</v>
      </c>
      <c r="O102" s="4">
        <f t="shared" si="117"/>
        <v>4.7096662940824654</v>
      </c>
      <c r="P102" s="4">
        <f t="shared" si="118"/>
        <v>2.730333705917535</v>
      </c>
      <c r="Q102" s="4">
        <f t="shared" si="91"/>
        <v>0</v>
      </c>
      <c r="R102" s="4">
        <f t="shared" si="119"/>
        <v>3.7636258835349601</v>
      </c>
      <c r="S102" s="360">
        <f t="shared" si="92"/>
        <v>7.0824398956071552E-2</v>
      </c>
      <c r="T102" s="360">
        <f t="shared" si="93"/>
        <v>0.3</v>
      </c>
      <c r="U102" s="360">
        <f t="shared" si="94"/>
        <v>0.37293744458494693</v>
      </c>
      <c r="V102" s="4">
        <f t="shared" si="120"/>
        <v>0.57138410129641071</v>
      </c>
      <c r="W102" s="360">
        <f t="shared" si="121"/>
        <v>6.5295958242861385E-4</v>
      </c>
      <c r="X102" s="360">
        <f t="shared" si="122"/>
        <v>6.5295958242861385E-4</v>
      </c>
      <c r="Y102" s="4">
        <f t="shared" si="123"/>
        <v>1.3799724139313509</v>
      </c>
      <c r="Z102" s="360">
        <f t="shared" si="124"/>
        <v>1.9043238632115199E-3</v>
      </c>
      <c r="AA102" s="541">
        <f t="shared" si="125"/>
        <v>1.9043238632115199E-3</v>
      </c>
      <c r="AB102" s="360">
        <f t="shared" si="126"/>
        <v>1.5057258309989952</v>
      </c>
      <c r="AC102" s="360">
        <f t="shared" si="95"/>
        <v>1.3603261668825688E-2</v>
      </c>
      <c r="AD102" s="360">
        <f t="shared" si="96"/>
        <v>0.29064862374776729</v>
      </c>
      <c r="AE102" s="360">
        <f t="shared" si="97"/>
        <v>0.63444464999999983</v>
      </c>
      <c r="AF102" s="360">
        <f t="shared" si="98"/>
        <v>0</v>
      </c>
      <c r="AG102" s="360">
        <f t="shared" si="99"/>
        <v>0.94125736947552996</v>
      </c>
      <c r="AH102" s="360">
        <f t="shared" si="100"/>
        <v>3.4492998583881764</v>
      </c>
      <c r="AI102" s="360">
        <f t="shared" si="101"/>
        <v>2.9744173782691737E-2</v>
      </c>
      <c r="AJ102" s="360">
        <f t="shared" si="102"/>
        <v>0.15311519999999998</v>
      </c>
      <c r="AK102" s="360">
        <f t="shared" si="103"/>
        <v>0.18368985664143692</v>
      </c>
      <c r="AL102" s="360">
        <f t="shared" si="104"/>
        <v>0.15311519999999998</v>
      </c>
      <c r="AM102" s="360">
        <f t="shared" si="105"/>
        <v>2.4607799999999997</v>
      </c>
      <c r="AN102" s="360">
        <f t="shared" si="106"/>
        <v>0.1416487979121431</v>
      </c>
      <c r="AO102" s="360">
        <f t="shared" si="107"/>
        <v>7.3499999999999998E-4</v>
      </c>
      <c r="AP102" s="360">
        <f t="shared" si="108"/>
        <v>0.34650000000000003</v>
      </c>
      <c r="AQ102" s="360">
        <f t="shared" si="109"/>
        <v>1.3167</v>
      </c>
      <c r="AR102" s="360">
        <f t="shared" si="110"/>
        <v>1.1088</v>
      </c>
      <c r="AS102" s="360">
        <f t="shared" si="133"/>
        <v>0.34723500000000002</v>
      </c>
      <c r="AT102" s="360">
        <f t="shared" si="111"/>
        <v>4.6032209520596981</v>
      </c>
      <c r="AU102">
        <f t="shared" si="112"/>
        <v>12.276</v>
      </c>
      <c r="AV102" s="542">
        <f t="shared" si="127"/>
        <v>0.72728475057387132</v>
      </c>
      <c r="AW102" s="551">
        <f t="shared" si="113"/>
        <v>128.26860847377648</v>
      </c>
      <c r="AX102" s="551">
        <f t="shared" si="114"/>
        <v>37.838395752374602</v>
      </c>
      <c r="AY102" s="9"/>
      <c r="AZ102" s="4">
        <f t="shared" si="128"/>
        <v>72.728475057387129</v>
      </c>
      <c r="BA102" s="360">
        <f t="shared" si="115"/>
        <v>0.37293744458494693</v>
      </c>
      <c r="BB102" s="360">
        <f t="shared" si="129"/>
        <v>3.5857272261169664</v>
      </c>
      <c r="BC102" s="360">
        <f t="shared" si="130"/>
        <v>2.5653721694755296</v>
      </c>
      <c r="BD102" s="360">
        <f t="shared" si="131"/>
        <v>0.99574725664143682</v>
      </c>
      <c r="BE102" s="360">
        <f t="shared" si="132"/>
        <v>0.1416487979121431</v>
      </c>
      <c r="BK102" s="18"/>
      <c r="BL102" s="19"/>
    </row>
    <row r="103" spans="7:64" x14ac:dyDescent="0.2">
      <c r="G103">
        <v>94</v>
      </c>
      <c r="H103" s="548">
        <f t="shared" si="85"/>
        <v>21</v>
      </c>
      <c r="I103" s="4">
        <f t="shared" si="86"/>
        <v>1</v>
      </c>
      <c r="J103" s="360">
        <f t="shared" si="116"/>
        <v>3.76</v>
      </c>
      <c r="K103" s="360">
        <f t="shared" si="87"/>
        <v>3.76</v>
      </c>
      <c r="L103" s="4">
        <f t="shared" si="88"/>
        <v>0.65650793650793637</v>
      </c>
      <c r="M103" s="360">
        <f t="shared" si="89"/>
        <v>0.16008987635342486</v>
      </c>
      <c r="N103" s="4">
        <f t="shared" si="90"/>
        <v>1.9796705141243991</v>
      </c>
      <c r="O103" s="4">
        <f t="shared" si="117"/>
        <v>4.7498352570621991</v>
      </c>
      <c r="P103" s="4">
        <f t="shared" si="118"/>
        <v>2.7701647429378005</v>
      </c>
      <c r="Q103" s="4">
        <f t="shared" si="91"/>
        <v>0</v>
      </c>
      <c r="R103" s="4">
        <f t="shared" si="119"/>
        <v>3.8031817309599862</v>
      </c>
      <c r="S103" s="360">
        <f t="shared" si="92"/>
        <v>7.2320956393538985E-2</v>
      </c>
      <c r="T103" s="360">
        <f t="shared" si="93"/>
        <v>0.3</v>
      </c>
      <c r="U103" s="360">
        <f t="shared" si="94"/>
        <v>0.37448762062402458</v>
      </c>
      <c r="V103" s="4">
        <f t="shared" si="120"/>
        <v>0.57148165211824331</v>
      </c>
      <c r="W103" s="360">
        <f t="shared" si="121"/>
        <v>6.531825574155937E-4</v>
      </c>
      <c r="X103" s="360">
        <f t="shared" si="122"/>
        <v>6.531825574155937E-4</v>
      </c>
      <c r="Y103" s="4">
        <f t="shared" si="123"/>
        <v>1.3945863843383419</v>
      </c>
      <c r="Z103" s="360">
        <f t="shared" si="124"/>
        <v>1.9448711833818895E-3</v>
      </c>
      <c r="AA103" s="541">
        <f t="shared" si="125"/>
        <v>1.9448711833818895E-3</v>
      </c>
      <c r="AB103" s="360">
        <f t="shared" si="126"/>
        <v>1.5216999025302649</v>
      </c>
      <c r="AC103" s="360">
        <f t="shared" si="95"/>
        <v>1.3893423560163706E-2</v>
      </c>
      <c r="AD103" s="360">
        <f t="shared" si="96"/>
        <v>0.2937738777665605</v>
      </c>
      <c r="AE103" s="360">
        <f t="shared" si="97"/>
        <v>0.63444464999999983</v>
      </c>
      <c r="AF103" s="360">
        <f t="shared" si="98"/>
        <v>0</v>
      </c>
      <c r="AG103" s="360">
        <f t="shared" si="99"/>
        <v>0.94473707780170202</v>
      </c>
      <c r="AH103" s="360">
        <f t="shared" si="100"/>
        <v>3.4854871517977486</v>
      </c>
      <c r="AI103" s="360">
        <f t="shared" si="101"/>
        <v>3.0371551713367952E-2</v>
      </c>
      <c r="AJ103" s="360">
        <f t="shared" si="102"/>
        <v>0.15476159999999997</v>
      </c>
      <c r="AK103" s="360">
        <f t="shared" si="103"/>
        <v>0.18599177826798086</v>
      </c>
      <c r="AL103" s="360">
        <f t="shared" si="104"/>
        <v>0.15476159999999997</v>
      </c>
      <c r="AM103" s="360">
        <f t="shared" si="105"/>
        <v>2.4872399999999995</v>
      </c>
      <c r="AN103" s="360">
        <f t="shared" si="106"/>
        <v>0.14464191278707797</v>
      </c>
      <c r="AO103" s="360">
        <f t="shared" si="107"/>
        <v>7.3499999999999998E-4</v>
      </c>
      <c r="AP103" s="360">
        <f t="shared" si="108"/>
        <v>0.34650000000000003</v>
      </c>
      <c r="AQ103" s="360">
        <f t="shared" si="109"/>
        <v>1.3167</v>
      </c>
      <c r="AR103" s="360">
        <f t="shared" si="110"/>
        <v>1.1088</v>
      </c>
      <c r="AS103" s="360">
        <f t="shared" si="133"/>
        <v>0.34723500000000002</v>
      </c>
      <c r="AT103" s="360">
        <f t="shared" si="111"/>
        <v>4.6416930432215828</v>
      </c>
      <c r="AU103">
        <f t="shared" si="112"/>
        <v>12.407999999999999</v>
      </c>
      <c r="AV103" s="542">
        <f t="shared" si="127"/>
        <v>0.72775503749805215</v>
      </c>
      <c r="AW103" s="551">
        <f t="shared" si="113"/>
        <v>129.3157738900851</v>
      </c>
      <c r="AX103" s="551">
        <f t="shared" si="114"/>
        <v>38.257677174183272</v>
      </c>
      <c r="AY103" s="9"/>
      <c r="AZ103" s="4">
        <f t="shared" si="128"/>
        <v>72.77550374980521</v>
      </c>
      <c r="BA103" s="360">
        <f t="shared" si="115"/>
        <v>0.37448762062402458</v>
      </c>
      <c r="BB103" s="360">
        <f t="shared" si="129"/>
        <v>3.6179688560696821</v>
      </c>
      <c r="BC103" s="360">
        <f t="shared" si="130"/>
        <v>2.5863154778017017</v>
      </c>
      <c r="BD103" s="360">
        <f t="shared" si="131"/>
        <v>1.0067809782679809</v>
      </c>
      <c r="BE103" s="360">
        <f t="shared" si="132"/>
        <v>0.14464191278707797</v>
      </c>
      <c r="BK103" s="18"/>
      <c r="BL103" s="19"/>
    </row>
    <row r="104" spans="7:64" x14ac:dyDescent="0.2">
      <c r="G104">
        <v>95</v>
      </c>
      <c r="H104" s="548">
        <f t="shared" si="85"/>
        <v>21</v>
      </c>
      <c r="I104" s="4">
        <f t="shared" si="86"/>
        <v>1</v>
      </c>
      <c r="J104" s="360">
        <f t="shared" si="116"/>
        <v>3.8</v>
      </c>
      <c r="K104" s="360">
        <f t="shared" si="87"/>
        <v>3.8</v>
      </c>
      <c r="L104" s="4">
        <f t="shared" si="88"/>
        <v>0.66349206349206336</v>
      </c>
      <c r="M104" s="360">
        <f t="shared" si="89"/>
        <v>0.16012119078988046</v>
      </c>
      <c r="N104" s="4">
        <f t="shared" si="90"/>
        <v>1.9800084112085905</v>
      </c>
      <c r="O104" s="4">
        <f t="shared" si="117"/>
        <v>4.7900042056042951</v>
      </c>
      <c r="P104" s="4">
        <f t="shared" si="118"/>
        <v>2.8099957943957046</v>
      </c>
      <c r="Q104" s="4">
        <f t="shared" si="91"/>
        <v>0</v>
      </c>
      <c r="R104" s="4">
        <f t="shared" si="119"/>
        <v>3.8427467748610145</v>
      </c>
      <c r="S104" s="360">
        <f t="shared" si="92"/>
        <v>7.3833513878523646E-2</v>
      </c>
      <c r="T104" s="360">
        <f t="shared" si="93"/>
        <v>0.3</v>
      </c>
      <c r="U104" s="360">
        <f t="shared" si="94"/>
        <v>0.37605474936301797</v>
      </c>
      <c r="V104" s="4">
        <f t="shared" si="120"/>
        <v>0.57157919460450146</v>
      </c>
      <c r="W104" s="360">
        <f t="shared" si="121"/>
        <v>6.5340555140946108E-4</v>
      </c>
      <c r="X104" s="360">
        <f t="shared" si="122"/>
        <v>6.5340555140946108E-4</v>
      </c>
      <c r="Y104" s="4">
        <f t="shared" si="123"/>
        <v>1.4092060020688753</v>
      </c>
      <c r="Z104" s="360">
        <f t="shared" si="124"/>
        <v>1.9858615562669429E-3</v>
      </c>
      <c r="AA104" s="541">
        <f t="shared" si="125"/>
        <v>1.9858615562669429E-3</v>
      </c>
      <c r="AB104" s="360">
        <f t="shared" si="126"/>
        <v>1.5376807316494783</v>
      </c>
      <c r="AC104" s="360">
        <f t="shared" si="95"/>
        <v>1.418677219491645E-2</v>
      </c>
      <c r="AD104" s="360">
        <f t="shared" si="96"/>
        <v>0.29689913178535371</v>
      </c>
      <c r="AE104" s="360">
        <f t="shared" si="97"/>
        <v>0.63444464999999983</v>
      </c>
      <c r="AF104" s="360">
        <f t="shared" si="98"/>
        <v>0</v>
      </c>
      <c r="AG104" s="360">
        <f t="shared" si="99"/>
        <v>0.94822099302396379</v>
      </c>
      <c r="AH104" s="360">
        <f t="shared" si="100"/>
        <v>3.521681522116765</v>
      </c>
      <c r="AI104" s="360">
        <f t="shared" si="101"/>
        <v>3.1005601858046638E-2</v>
      </c>
      <c r="AJ104" s="360">
        <f t="shared" si="102"/>
        <v>0.15640799999999996</v>
      </c>
      <c r="AK104" s="360">
        <f t="shared" si="103"/>
        <v>0.1883010366778958</v>
      </c>
      <c r="AL104" s="360">
        <f t="shared" si="104"/>
        <v>0.15640799999999996</v>
      </c>
      <c r="AM104" s="360">
        <f t="shared" si="105"/>
        <v>2.5136999999999996</v>
      </c>
      <c r="AN104" s="360">
        <f t="shared" si="106"/>
        <v>0.14766702775704729</v>
      </c>
      <c r="AO104" s="360">
        <f t="shared" si="107"/>
        <v>7.3499999999999998E-4</v>
      </c>
      <c r="AP104" s="360">
        <f t="shared" si="108"/>
        <v>0.34650000000000003</v>
      </c>
      <c r="AQ104" s="360">
        <f t="shared" si="109"/>
        <v>1.3167</v>
      </c>
      <c r="AR104" s="360">
        <f t="shared" si="110"/>
        <v>1.1088</v>
      </c>
      <c r="AS104" s="360">
        <f t="shared" si="133"/>
        <v>0.34723500000000002</v>
      </c>
      <c r="AT104" s="360">
        <f t="shared" si="111"/>
        <v>4.6802260739296013</v>
      </c>
      <c r="AU104">
        <f t="shared" si="112"/>
        <v>12.54</v>
      </c>
      <c r="AV104" s="542">
        <f t="shared" si="127"/>
        <v>0.7282134361165451</v>
      </c>
      <c r="AW104" s="551">
        <f t="shared" si="113"/>
        <v>130.3631496511982</v>
      </c>
      <c r="AX104" s="551">
        <f t="shared" si="114"/>
        <v>38.677237393760045</v>
      </c>
      <c r="AY104" s="9"/>
      <c r="AZ104" s="4">
        <f t="shared" si="128"/>
        <v>72.821343611654513</v>
      </c>
      <c r="BA104" s="360">
        <f t="shared" si="115"/>
        <v>0.37605474936301797</v>
      </c>
      <c r="BB104" s="360">
        <f t="shared" si="129"/>
        <v>3.6502220297018591</v>
      </c>
      <c r="BC104" s="360">
        <f t="shared" si="130"/>
        <v>2.6072629930239639</v>
      </c>
      <c r="BD104" s="360">
        <f t="shared" si="131"/>
        <v>1.0178220366778958</v>
      </c>
      <c r="BE104" s="360">
        <f t="shared" si="132"/>
        <v>0.14766702775704729</v>
      </c>
      <c r="BK104" s="18"/>
      <c r="BL104" s="19"/>
    </row>
    <row r="105" spans="7:64" x14ac:dyDescent="0.2">
      <c r="G105">
        <v>96</v>
      </c>
      <c r="H105" s="548">
        <f t="shared" si="85"/>
        <v>21</v>
      </c>
      <c r="I105" s="4">
        <f t="shared" si="86"/>
        <v>1</v>
      </c>
      <c r="J105" s="360">
        <f t="shared" si="116"/>
        <v>3.84</v>
      </c>
      <c r="K105" s="360">
        <f t="shared" si="87"/>
        <v>3.84</v>
      </c>
      <c r="L105" s="4">
        <f t="shared" ref="L105:L109" si="134">Vout*K105/(Vin*Efficiency)</f>
        <v>0.67047619047619034</v>
      </c>
      <c r="M105" s="360">
        <f t="shared" si="89"/>
        <v>0.1601525044518515</v>
      </c>
      <c r="N105" s="4">
        <f t="shared" ref="N105:N109" si="135">(Vin-(Rdson1+Rdcr)*K105-Vout)*M105/(Fsw*Lf)</f>
        <v>1.9803462794185749</v>
      </c>
      <c r="O105" s="4">
        <f t="shared" si="117"/>
        <v>4.8301731397092871</v>
      </c>
      <c r="P105" s="4">
        <f t="shared" si="118"/>
        <v>2.8498268602907126</v>
      </c>
      <c r="Q105" s="4">
        <f t="shared" ref="Q105:Q109" si="136">IF(MIN(Vin, -P105/(Coss_Q1+Coss_Q2)*0.00000002)&lt;0, 0, MIN(Vin, -P105/(Coss_Q1+Coss_Q2)*0.00000002))</f>
        <v>0</v>
      </c>
      <c r="R105" s="4">
        <f t="shared" si="119"/>
        <v>3.8823207340713859</v>
      </c>
      <c r="S105" s="360">
        <f t="shared" ref="S105:S109" si="137">R105^2*Rdcr</f>
        <v>7.5362071411002929E-2</v>
      </c>
      <c r="T105" s="360">
        <f t="shared" si="93"/>
        <v>0.3</v>
      </c>
      <c r="U105" s="360">
        <f t="shared" ref="U105:U109" si="138">(T105+S105*(1+Ltc*(Ta-25)))/(1-S105*Ltc*ThetaCa)</f>
        <v>0.3776388430475886</v>
      </c>
      <c r="V105" s="4">
        <f t="shared" si="120"/>
        <v>0.57167672875549402</v>
      </c>
      <c r="W105" s="360">
        <f t="shared" si="121"/>
        <v>6.5362856440116541E-4</v>
      </c>
      <c r="X105" s="360">
        <f t="shared" si="122"/>
        <v>6.5362856440116541E-4</v>
      </c>
      <c r="Y105" s="4">
        <f t="shared" si="123"/>
        <v>1.423831164137316</v>
      </c>
      <c r="Z105" s="360">
        <f t="shared" si="124"/>
        <v>2.0272951839686243E-3</v>
      </c>
      <c r="AA105" s="541">
        <f t="shared" si="125"/>
        <v>2.0272951839686243E-3</v>
      </c>
      <c r="AB105" s="360">
        <f t="shared" si="126"/>
        <v>1.5536682063523986</v>
      </c>
      <c r="AC105" s="360">
        <f t="shared" ref="AC105:AC109" si="139">Rdson1*AB105^2</f>
        <v>1.4483309372581675E-2</v>
      </c>
      <c r="AD105" s="360">
        <f t="shared" si="96"/>
        <v>0.30002438580414686</v>
      </c>
      <c r="AE105" s="360">
        <f t="shared" si="97"/>
        <v>0.63444464999999983</v>
      </c>
      <c r="AF105" s="360">
        <f t="shared" si="98"/>
        <v>0</v>
      </c>
      <c r="AG105" s="360">
        <f t="shared" ref="AG105:AG109" si="140">(AF105+AE105+AD105+AC105*(1+RdsonTopTc*Ta-RdsonTopTc*25))/(1-AC105*RdsonTopTc*ThetaJA_Q1)</f>
        <v>0.95170912471391655</v>
      </c>
      <c r="AH105" s="360">
        <f t="shared" si="100"/>
        <v>3.5578827112160831</v>
      </c>
      <c r="AI105" s="360">
        <f t="shared" ref="AI105:AI109" si="141">Rdson2*AH105^2</f>
        <v>3.1646323466925766E-2</v>
      </c>
      <c r="AJ105" s="360">
        <f t="shared" si="102"/>
        <v>0.15805439999999998</v>
      </c>
      <c r="AK105" s="360">
        <f t="shared" ref="AK105:AK109" si="142">(AJ105+AI105*(1+RdsonBotTc*Ta-RdsonBotTc*25))/(1-AI105*RdsonBotTc*ThetaJA_Q2)</f>
        <v>0.19061764028738731</v>
      </c>
      <c r="AL105" s="360">
        <f t="shared" si="104"/>
        <v>0.15805439999999998</v>
      </c>
      <c r="AM105" s="360">
        <f t="shared" si="105"/>
        <v>2.5401599999999998</v>
      </c>
      <c r="AN105" s="360">
        <f t="shared" si="106"/>
        <v>0.15072414282200586</v>
      </c>
      <c r="AO105" s="360">
        <f t="shared" si="107"/>
        <v>7.3499999999999998E-4</v>
      </c>
      <c r="AP105" s="360">
        <f t="shared" si="108"/>
        <v>0.34650000000000003</v>
      </c>
      <c r="AQ105" s="360">
        <f t="shared" si="109"/>
        <v>1.3167</v>
      </c>
      <c r="AR105" s="360">
        <f t="shared" si="110"/>
        <v>1.1088</v>
      </c>
      <c r="AS105" s="360">
        <f t="shared" si="133"/>
        <v>0.34723500000000002</v>
      </c>
      <c r="AT105" s="360">
        <f t="shared" ref="AT105:AT109" si="143" xml:space="preserve"> SUM(U105,X105,AA105,AG105,AK105,AL105,AM105,AS105,AN105)</f>
        <v>4.7188200746192681</v>
      </c>
      <c r="AU105">
        <f t="shared" si="112"/>
        <v>12.671999999999999</v>
      </c>
      <c r="AV105" s="542">
        <f t="shared" si="127"/>
        <v>0.72866029006268263</v>
      </c>
      <c r="AW105" s="551">
        <f t="shared" si="113"/>
        <v>131.41073623569582</v>
      </c>
      <c r="AX105" s="551">
        <f t="shared" si="114"/>
        <v>39.097076730920712</v>
      </c>
      <c r="AY105" s="9"/>
      <c r="AZ105" s="4">
        <f t="shared" si="128"/>
        <v>72.866029006268263</v>
      </c>
      <c r="BA105" s="360">
        <f t="shared" si="115"/>
        <v>0.3776388430475886</v>
      </c>
      <c r="BB105" s="360">
        <f t="shared" si="129"/>
        <v>3.6824867650013036</v>
      </c>
      <c r="BC105" s="360">
        <f t="shared" si="130"/>
        <v>2.6282147247139163</v>
      </c>
      <c r="BD105" s="360">
        <f t="shared" si="131"/>
        <v>1.0288704402873872</v>
      </c>
      <c r="BE105" s="360">
        <f t="shared" si="132"/>
        <v>0.15072414282200586</v>
      </c>
      <c r="BK105" s="18"/>
      <c r="BL105" s="19"/>
    </row>
    <row r="106" spans="7:64" x14ac:dyDescent="0.2">
      <c r="G106">
        <v>97</v>
      </c>
      <c r="H106" s="548">
        <f t="shared" si="85"/>
        <v>21</v>
      </c>
      <c r="I106" s="4">
        <f t="shared" si="86"/>
        <v>1</v>
      </c>
      <c r="J106" s="360">
        <f t="shared" si="116"/>
        <v>3.88</v>
      </c>
      <c r="K106" s="360">
        <f t="shared" si="87"/>
        <v>3.88</v>
      </c>
      <c r="L106" s="4">
        <f t="shared" si="134"/>
        <v>0.67746031746031732</v>
      </c>
      <c r="M106" s="360">
        <f t="shared" si="89"/>
        <v>0.16018381733936671</v>
      </c>
      <c r="N106" s="4">
        <f t="shared" si="135"/>
        <v>1.9806841187554245</v>
      </c>
      <c r="O106" s="4">
        <f t="shared" si="117"/>
        <v>4.8703420593777125</v>
      </c>
      <c r="P106" s="4">
        <f t="shared" si="118"/>
        <v>2.8896579406222878</v>
      </c>
      <c r="Q106" s="4">
        <f t="shared" si="136"/>
        <v>0</v>
      </c>
      <c r="R106" s="4">
        <f t="shared" si="119"/>
        <v>3.9219033387107882</v>
      </c>
      <c r="S106" s="360">
        <f t="shared" si="137"/>
        <v>7.6906628990954143E-2</v>
      </c>
      <c r="T106" s="360">
        <f t="shared" si="93"/>
        <v>0.3</v>
      </c>
      <c r="U106" s="360">
        <f t="shared" si="138"/>
        <v>0.37923991406049101</v>
      </c>
      <c r="V106" s="4">
        <f t="shared" si="120"/>
        <v>0.57177425457153053</v>
      </c>
      <c r="W106" s="360">
        <f t="shared" si="121"/>
        <v>6.5385159638165879E-4</v>
      </c>
      <c r="X106" s="360">
        <f t="shared" si="122"/>
        <v>6.5385159638165879E-4</v>
      </c>
      <c r="Y106" s="4">
        <f t="shared" si="123"/>
        <v>1.4384617716648964</v>
      </c>
      <c r="Z106" s="360">
        <f t="shared" si="124"/>
        <v>2.0691722685413126E-3</v>
      </c>
      <c r="AA106" s="541">
        <f t="shared" si="125"/>
        <v>2.0691722685413126E-3</v>
      </c>
      <c r="AB106" s="360">
        <f t="shared" si="126"/>
        <v>1.5696622191078846</v>
      </c>
      <c r="AC106" s="360">
        <f t="shared" si="139"/>
        <v>1.4783036892568133E-2</v>
      </c>
      <c r="AD106" s="360">
        <f t="shared" si="96"/>
        <v>0.30314963982294008</v>
      </c>
      <c r="AE106" s="360">
        <f t="shared" si="97"/>
        <v>0.63444464999999983</v>
      </c>
      <c r="AF106" s="360">
        <f t="shared" si="98"/>
        <v>0</v>
      </c>
      <c r="AG106" s="360">
        <f t="shared" si="140"/>
        <v>0.9552014824665358</v>
      </c>
      <c r="AH106" s="360">
        <f t="shared" si="100"/>
        <v>3.5940904713287534</v>
      </c>
      <c r="AI106" s="360">
        <f t="shared" si="141"/>
        <v>3.2293715790240353E-2</v>
      </c>
      <c r="AJ106" s="360">
        <f t="shared" si="102"/>
        <v>0.15970079999999998</v>
      </c>
      <c r="AK106" s="360">
        <f t="shared" si="142"/>
        <v>0.19294159755982856</v>
      </c>
      <c r="AL106" s="360">
        <f t="shared" si="104"/>
        <v>0.15970079999999998</v>
      </c>
      <c r="AM106" s="360">
        <f t="shared" si="105"/>
        <v>2.5666199999999995</v>
      </c>
      <c r="AN106" s="360">
        <f t="shared" si="106"/>
        <v>0.15381325798190829</v>
      </c>
      <c r="AO106" s="360">
        <f t="shared" si="107"/>
        <v>7.3499999999999998E-4</v>
      </c>
      <c r="AP106" s="360">
        <f t="shared" si="108"/>
        <v>0.34650000000000003</v>
      </c>
      <c r="AQ106" s="360">
        <f t="shared" si="109"/>
        <v>1.3167</v>
      </c>
      <c r="AR106" s="360">
        <f t="shared" si="110"/>
        <v>1.1088</v>
      </c>
      <c r="AS106" s="360">
        <f t="shared" si="133"/>
        <v>0.34723500000000002</v>
      </c>
      <c r="AT106" s="360">
        <f t="shared" si="143"/>
        <v>4.7574750759336863</v>
      </c>
      <c r="AU106">
        <f t="shared" si="112"/>
        <v>12.803999999999998</v>
      </c>
      <c r="AV106" s="542">
        <f t="shared" si="127"/>
        <v>0.72909592984854954</v>
      </c>
      <c r="AW106" s="551">
        <f t="shared" si="113"/>
        <v>132.45853412332679</v>
      </c>
      <c r="AX106" s="551">
        <f t="shared" si="114"/>
        <v>39.517195507273478</v>
      </c>
      <c r="AY106" s="9"/>
      <c r="AZ106" s="4">
        <f t="shared" si="128"/>
        <v>72.909592984854953</v>
      </c>
      <c r="BA106" s="360">
        <f t="shared" si="115"/>
        <v>0.37923991406049101</v>
      </c>
      <c r="BB106" s="360">
        <f t="shared" si="129"/>
        <v>3.7147630800263638</v>
      </c>
      <c r="BC106" s="360">
        <f t="shared" si="130"/>
        <v>2.6491706824665355</v>
      </c>
      <c r="BD106" s="360">
        <f t="shared" si="131"/>
        <v>1.0399261975598284</v>
      </c>
      <c r="BE106" s="360">
        <f t="shared" si="132"/>
        <v>0.15381325798190829</v>
      </c>
      <c r="BK106" s="18"/>
      <c r="BL106" s="19"/>
    </row>
    <row r="107" spans="7:64" x14ac:dyDescent="0.2">
      <c r="G107">
        <v>98</v>
      </c>
      <c r="H107" s="548">
        <f t="shared" si="85"/>
        <v>21</v>
      </c>
      <c r="I107" s="4">
        <f t="shared" si="86"/>
        <v>1</v>
      </c>
      <c r="J107" s="360">
        <f t="shared" si="116"/>
        <v>3.92</v>
      </c>
      <c r="K107" s="360">
        <f t="shared" si="87"/>
        <v>3.92</v>
      </c>
      <c r="L107" s="4">
        <f t="shared" si="134"/>
        <v>0.68444444444444441</v>
      </c>
      <c r="M107" s="360">
        <f t="shared" si="89"/>
        <v>0.16021512945245481</v>
      </c>
      <c r="N107" s="4">
        <f t="shared" si="135"/>
        <v>1.98102192922021</v>
      </c>
      <c r="O107" s="4">
        <f t="shared" si="117"/>
        <v>4.9105109646101051</v>
      </c>
      <c r="P107" s="4">
        <f t="shared" si="118"/>
        <v>2.9294890353898948</v>
      </c>
      <c r="Q107" s="4">
        <f t="shared" si="136"/>
        <v>0</v>
      </c>
      <c r="R107" s="4">
        <f t="shared" si="119"/>
        <v>3.9614943296275138</v>
      </c>
      <c r="S107" s="360">
        <f t="shared" si="137"/>
        <v>7.8467186618354723E-2</v>
      </c>
      <c r="T107" s="360">
        <f t="shared" si="93"/>
        <v>0.3</v>
      </c>
      <c r="U107" s="360">
        <f t="shared" si="138"/>
        <v>0.380857974921817</v>
      </c>
      <c r="V107" s="4">
        <f t="shared" si="120"/>
        <v>0.57187177205292006</v>
      </c>
      <c r="W107" s="360">
        <f t="shared" si="121"/>
        <v>6.5407464734189389E-4</v>
      </c>
      <c r="X107" s="360">
        <f t="shared" si="122"/>
        <v>6.5407464734189389E-4</v>
      </c>
      <c r="Y107" s="4">
        <f t="shared" si="123"/>
        <v>1.4530977296767875</v>
      </c>
      <c r="Z107" s="360">
        <f t="shared" si="124"/>
        <v>2.1114930119918345E-3</v>
      </c>
      <c r="AA107" s="541">
        <f t="shared" si="125"/>
        <v>2.1114930119918345E-3</v>
      </c>
      <c r="AB107" s="360">
        <f t="shared" si="126"/>
        <v>1.5856626666368627</v>
      </c>
      <c r="AC107" s="360">
        <f t="shared" si="139"/>
        <v>1.508595655419556E-2</v>
      </c>
      <c r="AD107" s="360">
        <f t="shared" si="96"/>
        <v>0.30627489384173329</v>
      </c>
      <c r="AE107" s="360">
        <f t="shared" si="97"/>
        <v>0.63444464999999983</v>
      </c>
      <c r="AF107" s="360">
        <f t="shared" si="98"/>
        <v>0</v>
      </c>
      <c r="AG107" s="360">
        <f t="shared" si="140"/>
        <v>0.95869807590025302</v>
      </c>
      <c r="AH107" s="360">
        <f t="shared" si="100"/>
        <v>3.6303045645379424</v>
      </c>
      <c r="AI107" s="360">
        <f t="shared" si="141"/>
        <v>3.2947778078262546E-2</v>
      </c>
      <c r="AJ107" s="360">
        <f t="shared" si="102"/>
        <v>0.16134719999999997</v>
      </c>
      <c r="AK107" s="360">
        <f t="shared" si="142"/>
        <v>0.19527291700586152</v>
      </c>
      <c r="AL107" s="360">
        <f t="shared" si="104"/>
        <v>0.16134719999999997</v>
      </c>
      <c r="AM107" s="360">
        <f t="shared" si="105"/>
        <v>2.5930799999999996</v>
      </c>
      <c r="AN107" s="360">
        <f t="shared" si="106"/>
        <v>0.15693437323670945</v>
      </c>
      <c r="AO107" s="360">
        <f t="shared" si="107"/>
        <v>7.3499999999999998E-4</v>
      </c>
      <c r="AP107" s="360">
        <f t="shared" si="108"/>
        <v>0.34650000000000003</v>
      </c>
      <c r="AQ107" s="360">
        <f t="shared" si="109"/>
        <v>1.3167</v>
      </c>
      <c r="AR107" s="360">
        <f t="shared" si="110"/>
        <v>1.1088</v>
      </c>
      <c r="AS107" s="360">
        <f t="shared" si="133"/>
        <v>0.34723500000000002</v>
      </c>
      <c r="AT107" s="360">
        <f t="shared" si="143"/>
        <v>4.796191108723975</v>
      </c>
      <c r="AU107">
        <f t="shared" si="112"/>
        <v>12.936</v>
      </c>
      <c r="AV107" s="542">
        <f t="shared" si="127"/>
        <v>0.72952067348494121</v>
      </c>
      <c r="AW107" s="551">
        <f t="shared" si="113"/>
        <v>133.50654379501265</v>
      </c>
      <c r="AX107" s="551">
        <f t="shared" si="114"/>
        <v>39.937594046222735</v>
      </c>
      <c r="AY107" s="9"/>
      <c r="AZ107" s="4">
        <f t="shared" si="128"/>
        <v>72.952067348494126</v>
      </c>
      <c r="BA107" s="360">
        <f t="shared" si="115"/>
        <v>0.380857974921817</v>
      </c>
      <c r="BB107" s="360">
        <f t="shared" si="129"/>
        <v>3.7470509929061144</v>
      </c>
      <c r="BC107" s="360">
        <f t="shared" si="130"/>
        <v>2.6701308759002531</v>
      </c>
      <c r="BD107" s="360">
        <f t="shared" si="131"/>
        <v>1.0509893170058615</v>
      </c>
      <c r="BE107" s="360">
        <f t="shared" si="132"/>
        <v>0.15693437323670945</v>
      </c>
      <c r="BK107" s="18"/>
      <c r="BL107" s="19"/>
    </row>
    <row r="108" spans="7:64" x14ac:dyDescent="0.2">
      <c r="G108">
        <v>99</v>
      </c>
      <c r="H108" s="548">
        <f t="shared" si="85"/>
        <v>21</v>
      </c>
      <c r="I108" s="4">
        <f t="shared" si="86"/>
        <v>1</v>
      </c>
      <c r="J108" s="360">
        <f t="shared" si="116"/>
        <v>3.96</v>
      </c>
      <c r="K108" s="360">
        <f t="shared" si="87"/>
        <v>3.96</v>
      </c>
      <c r="L108" s="4">
        <f t="shared" si="134"/>
        <v>0.69142857142857128</v>
      </c>
      <c r="M108" s="360">
        <f t="shared" si="89"/>
        <v>0.16024644079114458</v>
      </c>
      <c r="N108" s="4">
        <f t="shared" si="135"/>
        <v>1.9813597108140033</v>
      </c>
      <c r="O108" s="4">
        <f t="shared" si="117"/>
        <v>4.9506798554070013</v>
      </c>
      <c r="P108" s="4">
        <f t="shared" si="118"/>
        <v>2.9693201445929982</v>
      </c>
      <c r="Q108" s="4">
        <f t="shared" si="136"/>
        <v>0</v>
      </c>
      <c r="R108" s="4">
        <f t="shared" si="119"/>
        <v>4.0010934578732869</v>
      </c>
      <c r="S108" s="360">
        <f t="shared" si="137"/>
        <v>8.0043744293182076E-2</v>
      </c>
      <c r="T108" s="360">
        <f t="shared" si="93"/>
        <v>0.3</v>
      </c>
      <c r="U108" s="360">
        <f t="shared" si="138"/>
        <v>0.38249303828924175</v>
      </c>
      <c r="V108" s="4">
        <f t="shared" si="120"/>
        <v>0.57196928119997192</v>
      </c>
      <c r="W108" s="360">
        <f t="shared" si="121"/>
        <v>6.542977172728252E-4</v>
      </c>
      <c r="X108" s="360">
        <f t="shared" si="122"/>
        <v>6.542977172728252E-4</v>
      </c>
      <c r="Y108" s="4">
        <f t="shared" si="123"/>
        <v>1.467738946911018</v>
      </c>
      <c r="Z108" s="360">
        <f t="shared" si="124"/>
        <v>2.1542576162794642E-3</v>
      </c>
      <c r="AA108" s="541">
        <f t="shared" si="125"/>
        <v>2.1542576162794642E-3</v>
      </c>
      <c r="AB108" s="360">
        <f t="shared" si="126"/>
        <v>1.601669449704209</v>
      </c>
      <c r="AC108" s="360">
        <f t="shared" si="139"/>
        <v>1.5392070156694701E-2</v>
      </c>
      <c r="AD108" s="360">
        <f t="shared" si="96"/>
        <v>0.3094001478605265</v>
      </c>
      <c r="AE108" s="360">
        <f t="shared" si="97"/>
        <v>0.63444464999999983</v>
      </c>
      <c r="AF108" s="360">
        <f t="shared" si="98"/>
        <v>0</v>
      </c>
      <c r="AG108" s="360">
        <f t="shared" si="140"/>
        <v>0.96219891465704033</v>
      </c>
      <c r="AH108" s="360">
        <f t="shared" si="100"/>
        <v>3.6665247622947583</v>
      </c>
      <c r="AI108" s="360">
        <f t="shared" si="141"/>
        <v>3.3608509581301585E-2</v>
      </c>
      <c r="AJ108" s="360">
        <f t="shared" si="102"/>
        <v>0.16299359999999999</v>
      </c>
      <c r="AK108" s="360">
        <f t="shared" si="142"/>
        <v>0.19761160718349885</v>
      </c>
      <c r="AL108" s="360">
        <f t="shared" si="104"/>
        <v>0.16299359999999999</v>
      </c>
      <c r="AM108" s="360">
        <f t="shared" si="105"/>
        <v>2.6195399999999998</v>
      </c>
      <c r="AN108" s="360">
        <f t="shared" si="106"/>
        <v>0.16008748858636415</v>
      </c>
      <c r="AO108" s="360">
        <f t="shared" si="107"/>
        <v>7.3499999999999998E-4</v>
      </c>
      <c r="AP108" s="360">
        <f t="shared" si="108"/>
        <v>0.34650000000000003</v>
      </c>
      <c r="AQ108" s="360">
        <f t="shared" si="109"/>
        <v>1.3167</v>
      </c>
      <c r="AR108" s="360">
        <f t="shared" si="110"/>
        <v>1.1088</v>
      </c>
      <c r="AS108" s="360">
        <f t="shared" si="133"/>
        <v>0.34723500000000002</v>
      </c>
      <c r="AT108" s="360">
        <f t="shared" si="143"/>
        <v>4.834968204049698</v>
      </c>
      <c r="AU108">
        <f t="shared" si="112"/>
        <v>13.068</v>
      </c>
      <c r="AV108" s="542">
        <f t="shared" si="127"/>
        <v>0.72993482706649637</v>
      </c>
      <c r="AW108" s="551">
        <f t="shared" si="113"/>
        <v>134.55476573285202</v>
      </c>
      <c r="AX108" s="551">
        <f t="shared" si="114"/>
        <v>40.358272672972952</v>
      </c>
      <c r="AY108" s="9"/>
      <c r="AZ108" s="4">
        <f t="shared" si="128"/>
        <v>72.993482706649644</v>
      </c>
      <c r="BA108" s="360">
        <f t="shared" si="115"/>
        <v>0.38249303828924175</v>
      </c>
      <c r="BB108" s="360">
        <f t="shared" si="129"/>
        <v>3.7793505218405388</v>
      </c>
      <c r="BC108" s="360">
        <f t="shared" si="130"/>
        <v>2.6910953146570402</v>
      </c>
      <c r="BD108" s="360">
        <f t="shared" si="131"/>
        <v>1.0620598071834988</v>
      </c>
      <c r="BE108" s="360">
        <f t="shared" si="132"/>
        <v>0.16008748858636415</v>
      </c>
      <c r="BK108" s="18"/>
      <c r="BL108" s="19"/>
    </row>
    <row r="109" spans="7:64" x14ac:dyDescent="0.2">
      <c r="G109">
        <v>100</v>
      </c>
      <c r="H109" s="548">
        <f t="shared" si="85"/>
        <v>21</v>
      </c>
      <c r="I109" s="4">
        <f t="shared" si="86"/>
        <v>1</v>
      </c>
      <c r="J109" s="360">
        <f t="shared" si="116"/>
        <v>4</v>
      </c>
      <c r="K109" s="360">
        <f t="shared" si="87"/>
        <v>4</v>
      </c>
      <c r="L109" s="4">
        <f t="shared" si="134"/>
        <v>0.69841269841269826</v>
      </c>
      <c r="M109" s="360">
        <f t="shared" si="89"/>
        <v>0.16027775135546465</v>
      </c>
      <c r="N109" s="4">
        <f t="shared" si="135"/>
        <v>1.9816974635378737</v>
      </c>
      <c r="O109" s="4">
        <f t="shared" si="117"/>
        <v>4.9908487317689367</v>
      </c>
      <c r="P109" s="4">
        <f t="shared" si="118"/>
        <v>3.0091512682310633</v>
      </c>
      <c r="Q109" s="4">
        <f t="shared" si="136"/>
        <v>0</v>
      </c>
      <c r="R109" s="4">
        <f t="shared" si="119"/>
        <v>4.0407004842084877</v>
      </c>
      <c r="S109" s="360">
        <f t="shared" si="137"/>
        <v>8.1636302015413539E-2</v>
      </c>
      <c r="T109" s="360">
        <f t="shared" si="93"/>
        <v>0.3</v>
      </c>
      <c r="U109" s="360">
        <f t="shared" si="138"/>
        <v>0.38414511695827369</v>
      </c>
      <c r="V109" s="4">
        <f t="shared" si="120"/>
        <v>0.57206678201299499</v>
      </c>
      <c r="W109" s="360">
        <f t="shared" si="121"/>
        <v>6.5452080616540712E-4</v>
      </c>
      <c r="X109" s="360">
        <f t="shared" si="122"/>
        <v>6.5452080616540712E-4</v>
      </c>
      <c r="Y109" s="4">
        <f t="shared" si="123"/>
        <v>1.4823853356384515</v>
      </c>
      <c r="Z109" s="360">
        <f t="shared" si="124"/>
        <v>2.1974662833159245E-3</v>
      </c>
      <c r="AA109" s="541">
        <f t="shared" si="125"/>
        <v>2.1974662833159245E-3</v>
      </c>
      <c r="AB109" s="360">
        <f t="shared" si="126"/>
        <v>1.6176824729226726</v>
      </c>
      <c r="AC109" s="360">
        <f t="shared" si="139"/>
        <v>1.5701379499207281E-2</v>
      </c>
      <c r="AD109" s="360">
        <f t="shared" si="96"/>
        <v>0.31252540187931965</v>
      </c>
      <c r="AE109" s="360">
        <f t="shared" si="97"/>
        <v>0.63444464999999983</v>
      </c>
      <c r="AF109" s="360">
        <f t="shared" si="98"/>
        <v>0</v>
      </c>
      <c r="AG109" s="360">
        <f t="shared" si="140"/>
        <v>0.96570400840249337</v>
      </c>
      <c r="AH109" s="360">
        <f t="shared" si="100"/>
        <v>3.7027508449639832</v>
      </c>
      <c r="AI109" s="360">
        <f t="shared" si="141"/>
        <v>3.4275909549703727E-2</v>
      </c>
      <c r="AJ109" s="360">
        <f t="shared" si="102"/>
        <v>0.16463999999999998</v>
      </c>
      <c r="AK109" s="360">
        <f t="shared" si="142"/>
        <v>0.19995767669822584</v>
      </c>
      <c r="AL109" s="360">
        <f t="shared" si="104"/>
        <v>0.16463999999999998</v>
      </c>
      <c r="AM109" s="360">
        <f t="shared" si="105"/>
        <v>2.6459999999999999</v>
      </c>
      <c r="AN109" s="360">
        <f t="shared" si="106"/>
        <v>0.16327260403082708</v>
      </c>
      <c r="AO109" s="360">
        <f t="shared" si="107"/>
        <v>7.3499999999999998E-4</v>
      </c>
      <c r="AP109" s="360">
        <f t="shared" si="108"/>
        <v>0.34650000000000003</v>
      </c>
      <c r="AQ109" s="360">
        <f t="shared" si="109"/>
        <v>1.3167</v>
      </c>
      <c r="AR109" s="360">
        <f t="shared" si="110"/>
        <v>1.1088</v>
      </c>
      <c r="AS109" s="360">
        <f t="shared" si="133"/>
        <v>0.34723500000000002</v>
      </c>
      <c r="AT109" s="360">
        <f t="shared" si="143"/>
        <v>4.8738063931793016</v>
      </c>
      <c r="AU109">
        <f t="shared" si="112"/>
        <v>13.2</v>
      </c>
      <c r="AV109" s="542">
        <f t="shared" si="127"/>
        <v>0.73033868532427237</v>
      </c>
      <c r="AW109" s="551">
        <f t="shared" si="113"/>
        <v>135.60320042012467</v>
      </c>
      <c r="AX109" s="551">
        <f t="shared" si="114"/>
        <v>40.779231714532585</v>
      </c>
      <c r="AY109" s="9"/>
      <c r="AZ109" s="4">
        <f t="shared" si="128"/>
        <v>73.033868532427235</v>
      </c>
      <c r="BA109" s="360">
        <f t="shared" si="115"/>
        <v>0.38414511695827369</v>
      </c>
      <c r="BB109" s="360">
        <f t="shared" si="129"/>
        <v>3.8116616851007192</v>
      </c>
      <c r="BC109" s="360">
        <f t="shared" si="130"/>
        <v>2.7120640084024932</v>
      </c>
      <c r="BD109" s="360">
        <f t="shared" si="131"/>
        <v>1.0731376766982259</v>
      </c>
      <c r="BE109" s="360">
        <f t="shared" si="132"/>
        <v>0.16327260403082708</v>
      </c>
      <c r="BK109" s="18"/>
      <c r="BL109" s="19"/>
    </row>
    <row r="110" spans="7:64" x14ac:dyDescent="0.2">
      <c r="H110" s="548"/>
      <c r="I110" s="4"/>
      <c r="J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
      <c r="H111" s="548"/>
      <c r="I111" s="4"/>
      <c r="J111" s="4"/>
      <c r="L111" s="4"/>
      <c r="R111" s="360"/>
      <c r="S111" s="360"/>
      <c r="T111" s="360"/>
      <c r="U111" s="360"/>
      <c r="W111" s="360"/>
      <c r="X111" s="360"/>
      <c r="Y111" s="360"/>
      <c r="Z111" s="360"/>
      <c r="AA111" s="541"/>
      <c r="AB111" s="360"/>
      <c r="AC111" s="360"/>
      <c r="AD111" s="360"/>
      <c r="AE111" s="360"/>
      <c r="AG111" s="360"/>
      <c r="AH111" s="360"/>
      <c r="AI111" s="360"/>
      <c r="AJ111" s="360"/>
      <c r="AK111" s="360"/>
      <c r="AL111" s="360"/>
      <c r="AM111" s="360"/>
      <c r="AN111" s="360"/>
      <c r="AO111" s="360"/>
      <c r="AP111" s="360"/>
      <c r="AQ111" s="360"/>
      <c r="AR111" s="360"/>
      <c r="AS111" s="360"/>
      <c r="AT111" s="360"/>
      <c r="AV111" s="542"/>
      <c r="AW111" s="551"/>
      <c r="AX111" s="551"/>
      <c r="AY111" s="9"/>
      <c r="AZ111" s="48"/>
      <c r="BA111" s="360"/>
      <c r="BB111" s="360"/>
      <c r="BC111" s="360"/>
      <c r="BD111" s="360"/>
      <c r="BE111" s="360"/>
    </row>
    <row r="112" spans="7:64" x14ac:dyDescent="0.2">
      <c r="H112" s="548"/>
      <c r="I112" s="4"/>
      <c r="J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
      <c r="H113" s="548"/>
      <c r="I113" s="4"/>
      <c r="J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
      <c r="H114" s="548"/>
      <c r="I114" s="4"/>
      <c r="J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
      <c r="H115" s="548"/>
      <c r="I115" s="4"/>
      <c r="J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
      <c r="H116" s="548"/>
      <c r="I116" s="4"/>
      <c r="J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
      <c r="H117" s="548"/>
      <c r="I117" s="4"/>
      <c r="J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
      <c r="H118" s="548"/>
      <c r="I118" s="4"/>
      <c r="J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
      <c r="H119" s="548"/>
      <c r="I119" s="4"/>
      <c r="J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
      <c r="H120" s="548"/>
      <c r="I120" s="4"/>
      <c r="J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
      <c r="H121" s="548"/>
      <c r="I121" s="4"/>
      <c r="J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
      <c r="H122" s="548"/>
      <c r="I122" s="4"/>
      <c r="J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
      <c r="H123" s="548"/>
      <c r="I123" s="4"/>
      <c r="J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
      <c r="H124" s="548"/>
      <c r="I124" s="4"/>
      <c r="J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
      <c r="H125" s="548"/>
      <c r="I125" s="4"/>
      <c r="J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
      <c r="H126" s="548"/>
      <c r="I126" s="4"/>
      <c r="J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
      <c r="H127" s="548"/>
      <c r="I127" s="4"/>
      <c r="J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
      <c r="H128" s="548"/>
      <c r="I128" s="4"/>
      <c r="J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
      <c r="H129" s="548"/>
      <c r="I129" s="4"/>
      <c r="J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
      <c r="H130" s="548"/>
      <c r="I130" s="4"/>
      <c r="J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
      <c r="H131" s="548"/>
      <c r="I131" s="4"/>
      <c r="J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
      <c r="H132" s="548"/>
      <c r="I132" s="4"/>
      <c r="J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
      <c r="H133" s="548"/>
      <c r="I133" s="4"/>
      <c r="J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
      <c r="H134" s="548"/>
      <c r="I134" s="4"/>
      <c r="J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
      <c r="H135" s="548"/>
      <c r="I135" s="4"/>
      <c r="J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
      <c r="H136" s="548"/>
      <c r="I136" s="4"/>
      <c r="J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
      <c r="H137" s="548"/>
      <c r="I137" s="4"/>
      <c r="J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
      <c r="H138" s="548"/>
      <c r="I138" s="4"/>
      <c r="J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
      <c r="H139" s="548"/>
      <c r="I139" s="4"/>
      <c r="J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
      <c r="H140" s="548"/>
      <c r="I140" s="4"/>
      <c r="J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
      <c r="H141" s="548"/>
      <c r="I141" s="4"/>
      <c r="J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
      <c r="H142" s="548"/>
      <c r="I142" s="4"/>
      <c r="J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
      <c r="H143" s="548"/>
      <c r="I143" s="4"/>
      <c r="J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
      <c r="H144" s="548"/>
      <c r="I144" s="4"/>
      <c r="J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
      <c r="H145" s="548"/>
      <c r="I145" s="4"/>
      <c r="J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
      <c r="H146" s="548"/>
      <c r="I146" s="4"/>
      <c r="J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
      <c r="H147" s="548"/>
      <c r="I147" s="4"/>
      <c r="J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
      <c r="H148" s="548"/>
      <c r="I148" s="4"/>
      <c r="J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
      <c r="H149" s="548"/>
      <c r="I149" s="4"/>
      <c r="J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
      <c r="H150" s="548"/>
      <c r="I150" s="4"/>
      <c r="J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
      <c r="H151" s="548"/>
      <c r="I151" s="4"/>
      <c r="J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
      <c r="H152" s="548"/>
      <c r="I152" s="4"/>
      <c r="J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
      <c r="H153" s="548"/>
      <c r="I153" s="4"/>
      <c r="J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
      <c r="H154" s="548"/>
      <c r="I154" s="4"/>
      <c r="J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
      <c r="H155" s="548"/>
      <c r="I155" s="4"/>
      <c r="J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
      <c r="H156" s="548"/>
      <c r="I156" s="4"/>
      <c r="J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
      <c r="H157" s="548"/>
      <c r="I157" s="4"/>
      <c r="J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
      <c r="H158" s="548"/>
      <c r="I158" s="4"/>
      <c r="J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
      <c r="H159" s="548"/>
      <c r="I159" s="4"/>
      <c r="J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
      <c r="H160" s="548"/>
      <c r="I160" s="4"/>
      <c r="J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
      <c r="H161" s="548"/>
      <c r="I161" s="4"/>
      <c r="J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
      <c r="H162" s="548"/>
      <c r="I162" s="4"/>
      <c r="J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
      <c r="H163" s="548"/>
      <c r="I163" s="4"/>
      <c r="J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
      <c r="H164" s="548"/>
      <c r="I164" s="4"/>
      <c r="J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
      <c r="H165" s="548"/>
      <c r="I165" s="4"/>
      <c r="J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
      <c r="H166" s="548"/>
      <c r="I166" s="4"/>
      <c r="J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
      <c r="H167" s="548"/>
      <c r="I167" s="4"/>
      <c r="J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
      <c r="H168" s="548"/>
      <c r="I168" s="4"/>
      <c r="J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
      <c r="H169" s="548"/>
      <c r="I169" s="4"/>
      <c r="J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
      <c r="H170" s="548"/>
      <c r="I170" s="4"/>
      <c r="J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
      <c r="H171" s="548"/>
      <c r="I171" s="4"/>
      <c r="J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
      <c r="H172" s="548"/>
      <c r="I172" s="4"/>
      <c r="J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
      <c r="H173" s="548"/>
      <c r="I173" s="4"/>
      <c r="J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
      <c r="H174" s="548"/>
      <c r="I174" s="4"/>
      <c r="J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
      <c r="H175" s="548"/>
      <c r="I175" s="4"/>
      <c r="J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
      <c r="H176" s="548"/>
      <c r="I176" s="4"/>
      <c r="J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
      <c r="H177" s="548"/>
      <c r="I177" s="4"/>
      <c r="J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
      <c r="H178" s="548"/>
      <c r="I178" s="4"/>
      <c r="J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
      <c r="H179" s="548"/>
      <c r="I179" s="4"/>
      <c r="J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
      <c r="H180" s="548"/>
      <c r="I180" s="4"/>
      <c r="J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
      <c r="H181" s="548"/>
      <c r="I181" s="4"/>
      <c r="J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
      <c r="H182" s="548"/>
      <c r="I182" s="4"/>
      <c r="J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
      <c r="H183" s="548"/>
      <c r="I183" s="4"/>
      <c r="J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
      <c r="H184" s="548"/>
      <c r="I184" s="4"/>
      <c r="J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
      <c r="H185" s="548"/>
      <c r="I185" s="4"/>
      <c r="J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
      <c r="H186" s="548"/>
      <c r="I186" s="4"/>
      <c r="J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
      <c r="H187" s="548"/>
      <c r="I187" s="4"/>
      <c r="J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
      <c r="H188" s="548"/>
      <c r="I188" s="4"/>
      <c r="J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
      <c r="H189" s="548"/>
      <c r="I189" s="4"/>
      <c r="J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
      <c r="H190" s="548"/>
      <c r="I190" s="4"/>
      <c r="J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
      <c r="H191" s="548"/>
      <c r="I191" s="4"/>
      <c r="J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
      <c r="H192" s="548"/>
      <c r="I192" s="4"/>
      <c r="J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
      <c r="H193" s="548"/>
      <c r="I193" s="4"/>
      <c r="J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
      <c r="H194" s="548"/>
      <c r="I194" s="4"/>
      <c r="J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
      <c r="H195" s="548"/>
      <c r="I195" s="4"/>
      <c r="J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
      <c r="H196" s="548"/>
      <c r="I196" s="4"/>
      <c r="J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
      <c r="H197" s="548"/>
      <c r="I197" s="4"/>
      <c r="J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
      <c r="H198" s="548"/>
      <c r="I198" s="4"/>
      <c r="J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
      <c r="H199" s="548"/>
      <c r="I199" s="4"/>
      <c r="J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
      <c r="H200" s="548"/>
      <c r="I200" s="4"/>
      <c r="J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
      <c r="H201" s="548"/>
      <c r="I201" s="4"/>
      <c r="J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
      <c r="H202" s="548"/>
      <c r="I202" s="4"/>
      <c r="J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
      <c r="H203" s="548"/>
      <c r="I203" s="4"/>
      <c r="J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
      <c r="H204" s="548"/>
      <c r="I204" s="4"/>
      <c r="J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
      <c r="H205" s="548"/>
      <c r="I205" s="4"/>
      <c r="J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
      <c r="H206" s="548"/>
      <c r="I206" s="4"/>
      <c r="J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
      <c r="H207" s="548"/>
      <c r="I207" s="4"/>
      <c r="J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
      <c r="H208" s="548"/>
      <c r="I208" s="4"/>
      <c r="J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
      <c r="H209" s="548"/>
      <c r="I209" s="4"/>
      <c r="J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Y7:AA7"/>
    <mergeCell ref="A1:D4"/>
    <mergeCell ref="A6:D7"/>
    <mergeCell ref="G7:N7"/>
    <mergeCell ref="R7:U7"/>
    <mergeCell ref="V7:X7"/>
    <mergeCell ref="AZ7:BE7"/>
    <mergeCell ref="AB7:AG7"/>
    <mergeCell ref="AH7:AK7"/>
    <mergeCell ref="AO7:AS7"/>
    <mergeCell ref="AT7:AX7"/>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BM209"/>
  <sheetViews>
    <sheetView topLeftCell="AA1" zoomScaleNormal="100" workbookViewId="0">
      <pane ySplit="8" topLeftCell="A95" activePane="bottomLeft" state="frozen"/>
      <selection activeCell="F1" sqref="F1"/>
      <selection pane="bottomLeft" activeCell="AN110" sqref="AN110"/>
    </sheetView>
  </sheetViews>
  <sheetFormatPr defaultRowHeight="12.75" x14ac:dyDescent="0.2"/>
  <cols>
    <col min="1" max="1" width="19.85546875" customWidth="1"/>
    <col min="2" max="2" width="13.140625" bestFit="1" customWidth="1"/>
    <col min="4" max="4" width="74.5703125" customWidth="1"/>
    <col min="6" max="6" width="9.140625" customWidth="1"/>
    <col min="7" max="7" width="6.85546875" customWidth="1"/>
    <col min="8" max="8" width="9.140625" style="547"/>
    <col min="9" max="9" width="9.85546875" customWidth="1"/>
    <col min="10" max="10" width="8.140625" customWidth="1"/>
    <col min="11" max="12" width="7.42578125" customWidth="1"/>
    <col min="13" max="13" width="10.7109375" style="360" customWidth="1"/>
    <col min="14" max="16" width="8.85546875" style="4" customWidth="1"/>
    <col min="17" max="17" width="11" style="4" customWidth="1"/>
    <col min="18" max="18" width="8" style="4" customWidth="1"/>
    <col min="19" max="19" width="9.42578125" style="311" customWidth="1"/>
    <col min="20" max="20" width="8" customWidth="1"/>
    <col min="21" max="21" width="9.28515625" customWidth="1"/>
    <col min="22" max="22" width="8.85546875" style="4" customWidth="1"/>
    <col min="23" max="23" width="9.85546875" customWidth="1"/>
    <col min="24" max="24" width="10.7109375" customWidth="1"/>
    <col min="25" max="25" width="9.7109375" style="311" customWidth="1"/>
    <col min="26" max="26" width="10.5703125" customWidth="1"/>
    <col min="28" max="29" width="8.5703125" customWidth="1"/>
    <col min="30" max="30" width="10" customWidth="1"/>
    <col min="31" max="31" width="12.28515625" customWidth="1"/>
    <col min="32" max="32" width="8" customWidth="1"/>
    <col min="33" max="33" width="9.85546875" customWidth="1"/>
    <col min="34" max="35" width="8.85546875" customWidth="1"/>
    <col min="36" max="36" width="10.5703125" customWidth="1"/>
    <col min="37" max="37" width="10.28515625" customWidth="1"/>
    <col min="38" max="38" width="13.7109375" customWidth="1"/>
    <col min="39" max="39" width="12" style="311" customWidth="1"/>
    <col min="40" max="40" width="11.5703125" customWidth="1"/>
    <col min="41" max="41" width="9.28515625" customWidth="1"/>
    <col min="42" max="44" width="10.42578125" customWidth="1"/>
    <col min="46" max="46" width="8.42578125" style="4" customWidth="1"/>
    <col min="47" max="47" width="7.28515625" customWidth="1"/>
    <col min="48" max="48" width="10.140625" style="9" customWidth="1"/>
    <col min="49" max="49" width="12.42578125" style="379" customWidth="1"/>
    <col min="50" max="50" width="11.42578125" style="379" customWidth="1"/>
    <col min="51" max="51" width="3.28515625" customWidth="1"/>
    <col min="52" max="52" width="7.85546875" style="360" customWidth="1"/>
    <col min="53" max="53" width="9.140625" style="311"/>
    <col min="54" max="54" width="10.28515625" style="311" customWidth="1"/>
    <col min="55" max="55" width="12.140625" style="311" customWidth="1"/>
    <col min="56" max="56" width="8.85546875" style="311" customWidth="1"/>
    <col min="57" max="57" width="7.85546875" customWidth="1"/>
    <col min="61" max="61" width="28.42578125" customWidth="1"/>
    <col min="64" max="64" width="12.42578125" bestFit="1" customWidth="1"/>
  </cols>
  <sheetData>
    <row r="1" spans="1:65" ht="12.75" customHeight="1" x14ac:dyDescent="0.2">
      <c r="A1" s="763" t="s">
        <v>753</v>
      </c>
      <c r="B1" s="763"/>
      <c r="C1" s="763"/>
      <c r="D1" s="763"/>
    </row>
    <row r="2" spans="1:65" ht="12.75" customHeight="1" x14ac:dyDescent="0.2">
      <c r="A2" s="763"/>
      <c r="B2" s="763"/>
      <c r="C2" s="763"/>
      <c r="D2" s="763"/>
      <c r="H2" s="552">
        <f>AV19</f>
        <v>0.70144791636346393</v>
      </c>
      <c r="I2" s="114" t="s">
        <v>602</v>
      </c>
      <c r="AK2" s="114"/>
    </row>
    <row r="3" spans="1:65" ht="12.75" customHeight="1" x14ac:dyDescent="0.2">
      <c r="A3" s="763"/>
      <c r="B3" s="763"/>
      <c r="C3" s="763"/>
      <c r="D3" s="763"/>
      <c r="H3" s="552">
        <f>AV59</f>
        <v>0.84643440891999944</v>
      </c>
      <c r="I3" s="114" t="s">
        <v>604</v>
      </c>
      <c r="AK3" s="114"/>
    </row>
    <row r="4" spans="1:65" ht="12.75" customHeight="1" x14ac:dyDescent="0.2">
      <c r="A4" s="763"/>
      <c r="B4" s="763"/>
      <c r="C4" s="763"/>
      <c r="D4" s="763"/>
      <c r="H4" s="552">
        <f>AV109</f>
        <v>0.85572623089304345</v>
      </c>
      <c r="I4" s="114" t="s">
        <v>603</v>
      </c>
      <c r="AK4" s="114"/>
      <c r="AM4" s="311">
        <f>QrrSky_Q4</f>
        <v>0</v>
      </c>
    </row>
    <row r="5" spans="1:65" x14ac:dyDescent="0.2">
      <c r="A5" s="10"/>
      <c r="B5" s="11"/>
      <c r="C5" s="6"/>
      <c r="D5" s="6"/>
    </row>
    <row r="6" spans="1:65" ht="13.5" customHeight="1" thickBot="1" x14ac:dyDescent="0.25">
      <c r="A6" s="764" t="s">
        <v>474</v>
      </c>
      <c r="B6" s="764"/>
      <c r="C6" s="764"/>
      <c r="D6" s="764"/>
    </row>
    <row r="7" spans="1:65" ht="13.5" thickBot="1" x14ac:dyDescent="0.25">
      <c r="A7" s="764"/>
      <c r="B7" s="764"/>
      <c r="C7" s="764"/>
      <c r="D7" s="764"/>
      <c r="G7" s="756" t="s">
        <v>595</v>
      </c>
      <c r="H7" s="757"/>
      <c r="I7" s="757"/>
      <c r="J7" s="757"/>
      <c r="K7" s="757"/>
      <c r="L7" s="768"/>
      <c r="M7" s="757"/>
      <c r="N7" s="758"/>
      <c r="O7" s="661"/>
      <c r="P7" s="661"/>
      <c r="Q7" s="661"/>
      <c r="R7" s="756" t="s">
        <v>485</v>
      </c>
      <c r="S7" s="757"/>
      <c r="T7" s="757"/>
      <c r="U7" s="758"/>
      <c r="V7" s="765" t="s">
        <v>25</v>
      </c>
      <c r="W7" s="766"/>
      <c r="X7" s="767"/>
      <c r="Y7" s="756" t="s">
        <v>57</v>
      </c>
      <c r="Z7" s="757"/>
      <c r="AA7" s="758"/>
      <c r="AB7" s="756" t="s">
        <v>592</v>
      </c>
      <c r="AC7" s="757"/>
      <c r="AD7" s="757"/>
      <c r="AE7" s="768"/>
      <c r="AF7" s="757"/>
      <c r="AG7" s="758"/>
      <c r="AH7" s="756" t="s">
        <v>593</v>
      </c>
      <c r="AI7" s="757"/>
      <c r="AJ7" s="757"/>
      <c r="AK7" s="758"/>
      <c r="AL7" s="466" t="s">
        <v>201</v>
      </c>
      <c r="AM7" s="468" t="s">
        <v>458</v>
      </c>
      <c r="AN7" s="467" t="s">
        <v>503</v>
      </c>
      <c r="AO7" s="759" t="s">
        <v>492</v>
      </c>
      <c r="AP7" s="760"/>
      <c r="AQ7" s="760"/>
      <c r="AR7" s="761"/>
      <c r="AS7" s="762"/>
      <c r="AT7" s="756" t="s">
        <v>500</v>
      </c>
      <c r="AU7" s="757"/>
      <c r="AV7" s="757"/>
      <c r="AW7" s="757"/>
      <c r="AX7" s="757"/>
      <c r="AY7" s="543"/>
      <c r="AZ7" s="755" t="s">
        <v>501</v>
      </c>
      <c r="BA7" s="755"/>
      <c r="BB7" s="755"/>
      <c r="BC7" s="755"/>
      <c r="BD7" s="755"/>
      <c r="BE7" s="755"/>
    </row>
    <row r="8" spans="1:65" ht="77.25" thickBot="1" x14ac:dyDescent="0.45">
      <c r="A8" s="606" t="s">
        <v>108</v>
      </c>
      <c r="B8" s="13"/>
      <c r="C8" s="13"/>
      <c r="D8" s="6"/>
      <c r="G8" s="451" t="s">
        <v>53</v>
      </c>
      <c r="H8" s="546" t="s">
        <v>3</v>
      </c>
      <c r="I8" s="538" t="s">
        <v>594</v>
      </c>
      <c r="J8" s="452" t="s">
        <v>5</v>
      </c>
      <c r="K8" s="452" t="s">
        <v>305</v>
      </c>
      <c r="L8" s="452"/>
      <c r="M8" s="463" t="s">
        <v>596</v>
      </c>
      <c r="N8" s="540" t="s">
        <v>486</v>
      </c>
      <c r="O8" s="662" t="s">
        <v>830</v>
      </c>
      <c r="P8" s="463" t="s">
        <v>843</v>
      </c>
      <c r="Q8" s="662" t="s">
        <v>844</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587</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x14ac:dyDescent="0.2">
      <c r="A9" s="14" t="s">
        <v>55</v>
      </c>
      <c r="B9" s="15" t="s">
        <v>111</v>
      </c>
      <c r="C9" s="16" t="s">
        <v>76</v>
      </c>
      <c r="D9" s="17" t="s">
        <v>107</v>
      </c>
      <c r="G9">
        <v>0</v>
      </c>
      <c r="H9" s="548">
        <f t="shared" ref="H9:H72" si="0">Vin</f>
        <v>21</v>
      </c>
      <c r="I9" s="4">
        <f t="shared" ref="I9:I40" si="1">MODE</f>
        <v>1</v>
      </c>
      <c r="J9">
        <v>0</v>
      </c>
      <c r="K9" s="4">
        <f t="shared" ref="K9:K40" si="2">Vout2*J9/(Vin*Efficiency)</f>
        <v>0</v>
      </c>
      <c r="L9" s="4"/>
      <c r="M9" s="360">
        <f t="shared" ref="M9:M40" si="3">(Vout2+(Rdson4+Rs+Rdcr)*J9)/(Vin+(Rs+Rdson2-Rdson1)*J9)</f>
        <v>0.23809523809523808</v>
      </c>
      <c r="N9" s="4">
        <f t="shared" ref="N9:N40" si="4">(Vin-(Rdson3+Rdcr2)*J9-Vout2)*M9/(Fsw*Lo_2)</f>
        <v>1.8140589569160996</v>
      </c>
      <c r="O9" s="4">
        <f>J9+N9/2</f>
        <v>0.90702947845804982</v>
      </c>
      <c r="P9" s="4">
        <f>J9-N9/2</f>
        <v>-0.90702947845804982</v>
      </c>
      <c r="Q9" s="4">
        <f t="shared" ref="Q9:Q40" si="5">IF(MIN(Vin, -P9/(Coss_Q3+Coss_Q4)*0.00000002)&lt;0, 0, MIN(Vin, -P9/(Coss_Q3+Coss_Q4)*0.00000002))</f>
        <v>9.4827964292530051</v>
      </c>
      <c r="R9" s="4">
        <f t="shared" ref="R9:R40" si="6">SQRT(J9^2+(N9^2)/12)</f>
        <v>0.52367371355068093</v>
      </c>
      <c r="S9" s="360">
        <f t="shared" ref="S9:S40" si="7">R9^2*Rdcr2</f>
        <v>2.4681074243756455E-3</v>
      </c>
      <c r="T9" s="360">
        <f t="shared" ref="T9:T40" si="8">Core_Loss_Ch1</f>
        <v>0.3</v>
      </c>
      <c r="U9" s="360">
        <f t="shared" ref="U9:U40" si="9">(T9+S9*(1+Ltc*(Ta-25)))/(1-S9*Ltc*ThetaCa)</f>
        <v>0.30252784112123576</v>
      </c>
      <c r="V9" s="4">
        <f>N9/SQRT(12)</f>
        <v>0.52367371355068093</v>
      </c>
      <c r="W9" s="360">
        <f t="shared" ref="W9:W40" si="10">Cout2_ESR*V9^2</f>
        <v>5.4846831652792126E-4</v>
      </c>
      <c r="X9" s="360">
        <f>W9</f>
        <v>5.4846831652792126E-4</v>
      </c>
      <c r="Y9" s="4">
        <f t="shared" ref="Y9:Y40" si="11">SQRT(M9*(1-M9))*SQRT(J9^2+(N9^2)/12)</f>
        <v>0.22304190886268099</v>
      </c>
      <c r="Z9" s="360">
        <f t="shared" ref="Z9:Z73" si="12">RCinEsr*Y9^2</f>
        <v>4.9747693109108495E-5</v>
      </c>
      <c r="AA9" s="541">
        <f>Z9</f>
        <v>4.9747693109108495E-5</v>
      </c>
      <c r="AB9" s="360">
        <f t="shared" ref="AB9:AB40" si="13">SQRT(M9)*SQRT(J9^2+(N9^2)/12)</f>
        <v>0.25552660762766938</v>
      </c>
      <c r="AC9" s="360">
        <f t="shared" ref="AC9:AC40" si="14">Rdson3*AB9^2</f>
        <v>3.917630832342294E-4</v>
      </c>
      <c r="AD9" s="360">
        <f t="shared" ref="AD9:AD40" si="15">(Vin*J9/2)*Fsw*(Tr_Ch2+Tf_Ch2)</f>
        <v>0</v>
      </c>
      <c r="AE9" s="360">
        <f t="shared" ref="AE9:AE40" si="16">(0.5*Coss_Q3*(Vin-Q9)^2-0.5*Coss_Q4*(Vin-Q9)^2+(Qoss_Q4*(Vin-Q9)/Vin)*Vin)*Fsw</f>
        <v>0.51847702706619647</v>
      </c>
      <c r="AF9" s="360">
        <f t="shared" ref="AF9:AF40" si="17">IF(J9&gt;N9/2,0,ABS(J9-N9/2)*Vsd_Q3*Deadtime*Fsw)</f>
        <v>1.8666666666666665E-2</v>
      </c>
      <c r="AG9" s="360">
        <f t="shared" ref="AG9:AG40" si="18">(AF9+AE9+AD9+AC9*(1+RdsonTopTc*Ta-RdsonTopTc*25))/(1-AC9*RdsonTopTc*ThetaJA_Q2)</f>
        <v>0.53756746787757392</v>
      </c>
      <c r="AH9" s="360">
        <f t="shared" ref="AH9:AH40" si="19">SQRT((1-M9))*SQRT(J9^2+(N9^2)/12)</f>
        <v>0.45709989177230798</v>
      </c>
      <c r="AI9" s="360">
        <f t="shared" ref="AI9:AI40" si="20">Rdson4*AH9^2</f>
        <v>5.2235077764563917E-4</v>
      </c>
      <c r="AJ9" s="360">
        <f t="shared" ref="AJ9:AJ40" si="21">IF(J9&lt;N9/2,Deadtime*Fsw*IF(VfdSky_Q4&gt;0,0,Vsd_Q4)*(J9+N9/2),2*Deadtime*Fsw*IF(VfdSky_Q4&gt;0,0,Vsd_Q4)*J9)</f>
        <v>1.8666666666666665E-2</v>
      </c>
      <c r="AK9" s="360">
        <f t="shared" ref="AK9:AK40" si="22">(AJ9+AI9*(1+RdsonBotTc*Ta-RdsonBotTc*25))/(1-AI9*RdsonBotTc*ThetaJA_Q3)</f>
        <v>1.919102233340024E-2</v>
      </c>
      <c r="AL9" s="360">
        <f t="shared" ref="AL9:AL40" si="23">2*Deadtime*Fsw*IF(VfdSky_Q4&gt;0,VfdSky_Q4,Vsd_Q4)*J9</f>
        <v>0</v>
      </c>
      <c r="AM9" s="360">
        <f t="shared" ref="AM9:AM40" si="24">IF(QrrSky_Q4&gt;0,QrrSky_Q4,Qrr_Q4*J9/Iout2)*Fsw*Vin</f>
        <v>0</v>
      </c>
      <c r="AN9" s="360">
        <f t="shared" ref="AN9:AN40" si="25">CHOOSE(SENSING_TYPE, Rs_Ch2*R9^2, 0)</f>
        <v>2.7423415826396064E-3</v>
      </c>
      <c r="AO9" s="360">
        <f t="shared" ref="AO9:AO40" si="26">Iq*Vin</f>
        <v>7.3499999999999998E-4</v>
      </c>
      <c r="AP9" s="360">
        <f t="shared" ref="AP9:AP40" si="27">IF(Ext_VCC=1,  (Qg_Q3+Qg_Q4)*Fsw*VCC, (Qg_Q3+Qg_Q4)*Fsw*Vin)</f>
        <v>0.34650000000000003</v>
      </c>
      <c r="AQ9" s="360">
        <f t="shared" ref="AQ9:AQ40" si="28">(Vin-VCC)*Fsw*(Qg_Q3+Qg_Q4)+(RdsonDRT+RdsonDRT2)*Fsw*Qg_Q3*VCC/(RdsonDRT+2*Rgate3+RdsonDRT2)+(RdsonDRB+RdsonDRB2)*Fsw*Qg_Q4*VCC/(RdsonDRB+2*Rgate4+RdsonDRB2)</f>
        <v>1.3167</v>
      </c>
      <c r="AR9" s="360">
        <f t="shared" ref="AR9:AR40" si="29">(Qg_Q3+Qg_Q4)*Fsw*(Vin-VCC)</f>
        <v>1.1088</v>
      </c>
      <c r="AS9" s="360">
        <f>SUM(AO9:AP9)</f>
        <v>0.34723500000000002</v>
      </c>
      <c r="AT9" s="360">
        <f>SUM(U9,X9,AA9,AG9,AK9,AL9,AM9,AS9,AN9)</f>
        <v>1.2098618889244865</v>
      </c>
      <c r="AU9">
        <f t="shared" ref="AU9:AU40" si="30">Vout2*J9</f>
        <v>0</v>
      </c>
      <c r="AV9" s="542">
        <f>AU9/(AU9+AT9)</f>
        <v>0</v>
      </c>
      <c r="AW9" s="551">
        <f t="shared" ref="AW9:AW40" si="31">ThetaJA_Q1*BC9</f>
        <v>26.878373393878697</v>
      </c>
      <c r="AX9" s="551">
        <f t="shared" ref="AX9:AX40" si="32">ThetaJA_Q2*BD9</f>
        <v>0.72925884866920909</v>
      </c>
      <c r="AZ9" s="4">
        <f>AV9*100</f>
        <v>0</v>
      </c>
      <c r="BA9" s="360">
        <f t="shared" ref="BA9:BA40" si="33">U9</f>
        <v>0.30252784112123576</v>
      </c>
      <c r="BB9" s="360">
        <f>AG9+AK9+AM9</f>
        <v>0.55675849021097412</v>
      </c>
      <c r="BC9" s="360">
        <f>AG9+AM9*0.66</f>
        <v>0.53756746787757392</v>
      </c>
      <c r="BD9" s="360">
        <f>AK9+AM9*0.33</f>
        <v>1.919102233340024E-2</v>
      </c>
      <c r="BE9" s="360">
        <f>AN9</f>
        <v>2.7423415826396064E-3</v>
      </c>
      <c r="BJ9" s="18"/>
      <c r="BK9" s="18"/>
      <c r="BL9" s="18"/>
      <c r="BM9" s="19"/>
    </row>
    <row r="10" spans="1:65" x14ac:dyDescent="0.2">
      <c r="A10" s="495"/>
      <c r="B10" s="24"/>
      <c r="C10" s="16"/>
      <c r="D10" s="17"/>
      <c r="G10">
        <v>1</v>
      </c>
      <c r="H10" s="548">
        <f t="shared" si="0"/>
        <v>21</v>
      </c>
      <c r="I10" s="4">
        <f t="shared" si="1"/>
        <v>1</v>
      </c>
      <c r="J10" s="360">
        <f t="shared" ref="J10:J41" si="34">Iout2*G10/100</f>
        <v>0.08</v>
      </c>
      <c r="K10" s="4">
        <f t="shared" si="2"/>
        <v>2.1164021164021163E-2</v>
      </c>
      <c r="L10" s="4"/>
      <c r="M10" s="360">
        <f t="shared" si="3"/>
        <v>0.23815600756552693</v>
      </c>
      <c r="N10" s="4">
        <f t="shared" si="4"/>
        <v>1.8143858732568343</v>
      </c>
      <c r="O10" s="4">
        <f t="shared" ref="O10:O73" si="35">J10+N10/2</f>
        <v>0.98719293662841712</v>
      </c>
      <c r="P10" s="4">
        <f t="shared" ref="P10:P73" si="36">J10-N10/2</f>
        <v>-0.8271929366284172</v>
      </c>
      <c r="Q10" s="4">
        <f t="shared" si="5"/>
        <v>8.6481227039039954</v>
      </c>
      <c r="R10" s="4">
        <f t="shared" si="6"/>
        <v>0.5298424370409538</v>
      </c>
      <c r="S10" s="360">
        <f t="shared" si="7"/>
        <v>2.5265970728054737E-3</v>
      </c>
      <c r="T10" s="360">
        <f t="shared" si="8"/>
        <v>0.3</v>
      </c>
      <c r="U10" s="360">
        <f t="shared" si="9"/>
        <v>0.30258775846038882</v>
      </c>
      <c r="V10" s="4">
        <f t="shared" ref="V10:V73" si="37">N10/SQRT(12)</f>
        <v>0.52376808616934378</v>
      </c>
      <c r="W10" s="360">
        <f t="shared" si="10"/>
        <v>5.486660161789943E-4</v>
      </c>
      <c r="X10" s="360">
        <f t="shared" ref="X10:X73" si="38">W10</f>
        <v>5.486660161789943E-4</v>
      </c>
      <c r="Y10" s="4">
        <f t="shared" si="11"/>
        <v>0.22568907358228699</v>
      </c>
      <c r="Z10" s="360">
        <f t="shared" si="12"/>
        <v>5.0935557934430948E-5</v>
      </c>
      <c r="AA10" s="541">
        <f t="shared" ref="AA10:AA73" si="39">Z10</f>
        <v>5.0935557934430948E-5</v>
      </c>
      <c r="AB10" s="360">
        <f t="shared" si="13"/>
        <v>0.25856962775711961</v>
      </c>
      <c r="AC10" s="360">
        <f t="shared" si="14"/>
        <v>4.0114951439073243E-4</v>
      </c>
      <c r="AD10" s="360">
        <f t="shared" si="15"/>
        <v>6.3455281933256615E-3</v>
      </c>
      <c r="AE10" s="360">
        <f t="shared" si="16"/>
        <v>0.53995486020486572</v>
      </c>
      <c r="AF10" s="360">
        <f t="shared" si="17"/>
        <v>1.7023630635812824E-2</v>
      </c>
      <c r="AG10" s="360">
        <f t="shared" si="18"/>
        <v>0.56375954363220349</v>
      </c>
      <c r="AH10" s="360">
        <f t="shared" si="19"/>
        <v>0.46246595084507758</v>
      </c>
      <c r="AI10" s="360">
        <f t="shared" si="20"/>
        <v>5.3468688922760435E-4</v>
      </c>
      <c r="AJ10" s="360">
        <f t="shared" si="21"/>
        <v>2.0316430635812822E-2</v>
      </c>
      <c r="AK10" s="360">
        <f t="shared" si="22"/>
        <v>2.0853347527344301E-2</v>
      </c>
      <c r="AL10" s="360">
        <f t="shared" si="23"/>
        <v>3.2927999999999998E-3</v>
      </c>
      <c r="AM10" s="360">
        <f t="shared" si="24"/>
        <v>2.6460000000000001E-2</v>
      </c>
      <c r="AN10" s="360">
        <f t="shared" si="25"/>
        <v>2.8073300808949711E-3</v>
      </c>
      <c r="AO10" s="360">
        <f t="shared" si="26"/>
        <v>7.3499999999999998E-4</v>
      </c>
      <c r="AP10" s="360">
        <f t="shared" si="27"/>
        <v>0.34650000000000003</v>
      </c>
      <c r="AQ10" s="360">
        <f t="shared" si="28"/>
        <v>1.3167</v>
      </c>
      <c r="AR10" s="360">
        <f t="shared" si="29"/>
        <v>1.1088</v>
      </c>
      <c r="AS10" s="360">
        <f t="shared" ref="AS10" si="40">SUM(AO10:AP10)</f>
        <v>0.34723500000000002</v>
      </c>
      <c r="AT10" s="360">
        <f t="shared" ref="AT10:AT73" si="41">SUM(U10,X10,AA10,AG10,AK10,AL10,AM10,AS10,AN10)</f>
        <v>1.267595381274945</v>
      </c>
      <c r="AU10">
        <f t="shared" si="30"/>
        <v>0.4</v>
      </c>
      <c r="AV10" s="542">
        <f t="shared" ref="AV10:AV73" si="42">AU10/(AU10+AT10)</f>
        <v>0.23986633957584103</v>
      </c>
      <c r="AW10" s="551">
        <f t="shared" si="31"/>
        <v>29.061157181610177</v>
      </c>
      <c r="AX10" s="551">
        <f t="shared" si="32"/>
        <v>1.1242356060390835</v>
      </c>
      <c r="AY10" s="9"/>
      <c r="AZ10" s="4">
        <f t="shared" ref="AZ10:AZ73" si="43">AV10*100</f>
        <v>23.986633957584104</v>
      </c>
      <c r="BA10" s="360">
        <f t="shared" si="33"/>
        <v>0.30258775846038882</v>
      </c>
      <c r="BB10" s="360">
        <f t="shared" ref="BB10:BB73" si="44">AG10+AK10+AM10</f>
        <v>0.61107289115954788</v>
      </c>
      <c r="BC10" s="360">
        <f t="shared" ref="BC10:BC73" si="45">AG10+AM10*0.66</f>
        <v>0.58122314363220351</v>
      </c>
      <c r="BD10" s="360">
        <f t="shared" ref="BD10:BD73" si="46">AK10+AM10*0.33</f>
        <v>2.9585147527344303E-2</v>
      </c>
      <c r="BE10" s="360">
        <f t="shared" ref="BE10:BE73" si="47">AN10</f>
        <v>2.8073300808949711E-3</v>
      </c>
      <c r="BJ10" s="18"/>
      <c r="BK10" s="18"/>
      <c r="BL10" s="18"/>
      <c r="BM10" s="19"/>
    </row>
    <row r="11" spans="1:65" x14ac:dyDescent="0.2">
      <c r="A11" s="20" t="s">
        <v>3</v>
      </c>
      <c r="B11" s="5">
        <f>Vin</f>
        <v>21</v>
      </c>
      <c r="C11" s="440" t="s">
        <v>0</v>
      </c>
      <c r="D11" s="21" t="s">
        <v>3</v>
      </c>
      <c r="G11">
        <v>2</v>
      </c>
      <c r="H11" s="548">
        <f t="shared" si="0"/>
        <v>21</v>
      </c>
      <c r="I11" s="4">
        <f t="shared" si="1"/>
        <v>1</v>
      </c>
      <c r="J11" s="360">
        <f t="shared" si="34"/>
        <v>0.16</v>
      </c>
      <c r="K11" s="4">
        <f t="shared" si="2"/>
        <v>4.2328042328042326E-2</v>
      </c>
      <c r="L11" s="4"/>
      <c r="M11" s="360">
        <f t="shared" si="3"/>
        <v>0.23821677402642916</v>
      </c>
      <c r="N11" s="4">
        <f t="shared" si="4"/>
        <v>1.8147126972215251</v>
      </c>
      <c r="O11" s="4">
        <f t="shared" si="35"/>
        <v>1.0673563486107625</v>
      </c>
      <c r="P11" s="4">
        <f t="shared" si="36"/>
        <v>-0.7473563486107625</v>
      </c>
      <c r="Q11" s="4">
        <f t="shared" si="5"/>
        <v>7.8134484956692374</v>
      </c>
      <c r="R11" s="4">
        <f t="shared" si="6"/>
        <v>0.54775162965351842</v>
      </c>
      <c r="S11" s="360">
        <f t="shared" si="7"/>
        <v>2.7002866300927667E-3</v>
      </c>
      <c r="T11" s="360">
        <f t="shared" si="8"/>
        <v>0.3</v>
      </c>
      <c r="U11" s="360">
        <f t="shared" si="9"/>
        <v>0.30276569096188116</v>
      </c>
      <c r="V11" s="4">
        <f t="shared" si="37"/>
        <v>0.52386243212133965</v>
      </c>
      <c r="W11" s="360">
        <f t="shared" si="10"/>
        <v>5.4886369557617047E-4</v>
      </c>
      <c r="X11" s="360">
        <f t="shared" si="38"/>
        <v>5.4886369557617047E-4</v>
      </c>
      <c r="Y11" s="4">
        <f t="shared" si="11"/>
        <v>0.23333804272599379</v>
      </c>
      <c r="Z11" s="360">
        <f t="shared" si="12"/>
        <v>5.4446642183197705E-5</v>
      </c>
      <c r="AA11" s="541">
        <f t="shared" si="39"/>
        <v>5.4446642183197705E-5</v>
      </c>
      <c r="AB11" s="360">
        <f t="shared" si="13"/>
        <v>0.26734363445810017</v>
      </c>
      <c r="AC11" s="360">
        <f t="shared" si="14"/>
        <v>4.2883571331159769E-4</v>
      </c>
      <c r="AD11" s="360">
        <f t="shared" si="15"/>
        <v>1.2691056386651323E-2</v>
      </c>
      <c r="AE11" s="360">
        <f t="shared" si="16"/>
        <v>0.55925718053392603</v>
      </c>
      <c r="AF11" s="360">
        <f t="shared" si="17"/>
        <v>1.5380593654409492E-2</v>
      </c>
      <c r="AG11" s="360">
        <f t="shared" si="18"/>
        <v>0.58779598061040983</v>
      </c>
      <c r="AH11" s="360">
        <f t="shared" si="19"/>
        <v>0.47807868484468002</v>
      </c>
      <c r="AI11" s="360">
        <f t="shared" si="20"/>
        <v>5.7139807225704722E-4</v>
      </c>
      <c r="AJ11" s="360">
        <f t="shared" si="21"/>
        <v>2.196619365440949E-2</v>
      </c>
      <c r="AK11" s="360">
        <f t="shared" si="22"/>
        <v>2.254016760833049E-2</v>
      </c>
      <c r="AL11" s="360">
        <f t="shared" si="23"/>
        <v>6.5855999999999996E-3</v>
      </c>
      <c r="AM11" s="360">
        <f t="shared" si="24"/>
        <v>5.2920000000000002E-2</v>
      </c>
      <c r="AN11" s="360">
        <f t="shared" si="25"/>
        <v>3.0003184778808522E-3</v>
      </c>
      <c r="AO11" s="360">
        <f t="shared" si="26"/>
        <v>7.3499999999999998E-4</v>
      </c>
      <c r="AP11" s="360">
        <f t="shared" si="27"/>
        <v>0.34650000000000003</v>
      </c>
      <c r="AQ11" s="360">
        <f t="shared" si="28"/>
        <v>1.3167</v>
      </c>
      <c r="AR11" s="360">
        <f t="shared" si="29"/>
        <v>1.1088</v>
      </c>
      <c r="AS11" s="360">
        <f t="shared" ref="AS11:AS74" si="48">SUM(AO11:AP11)</f>
        <v>0.34723500000000002</v>
      </c>
      <c r="AT11" s="360">
        <f t="shared" si="41"/>
        <v>1.3234460679962616</v>
      </c>
      <c r="AU11">
        <f t="shared" si="30"/>
        <v>0.8</v>
      </c>
      <c r="AV11" s="542">
        <f t="shared" si="42"/>
        <v>0.37674608837835977</v>
      </c>
      <c r="AW11" s="551">
        <f t="shared" si="31"/>
        <v>31.136159030520496</v>
      </c>
      <c r="AX11" s="551">
        <f t="shared" si="32"/>
        <v>1.5201431691165588</v>
      </c>
      <c r="AY11" s="9"/>
      <c r="AZ11" s="4">
        <f t="shared" si="43"/>
        <v>37.674608837835976</v>
      </c>
      <c r="BA11" s="360">
        <f t="shared" si="33"/>
        <v>0.30276569096188116</v>
      </c>
      <c r="BB11" s="360">
        <f t="shared" si="44"/>
        <v>0.66325614821874024</v>
      </c>
      <c r="BC11" s="360">
        <f t="shared" si="45"/>
        <v>0.62272318061040988</v>
      </c>
      <c r="BD11" s="360">
        <f t="shared" si="46"/>
        <v>4.0003767608330493E-2</v>
      </c>
      <c r="BE11" s="360">
        <f t="shared" si="47"/>
        <v>3.0003184778808522E-3</v>
      </c>
      <c r="BJ11" s="18"/>
      <c r="BK11" s="18"/>
      <c r="BL11" s="18"/>
      <c r="BM11" s="19"/>
    </row>
    <row r="12" spans="1:65" x14ac:dyDescent="0.2">
      <c r="A12" s="22" t="s">
        <v>4</v>
      </c>
      <c r="B12" s="5">
        <f>Vout2</f>
        <v>5</v>
      </c>
      <c r="C12" s="440" t="s">
        <v>0</v>
      </c>
      <c r="D12" s="21" t="s">
        <v>4</v>
      </c>
      <c r="G12">
        <v>3</v>
      </c>
      <c r="H12" s="548">
        <f t="shared" si="0"/>
        <v>21</v>
      </c>
      <c r="I12" s="4">
        <f t="shared" si="1"/>
        <v>1</v>
      </c>
      <c r="J12" s="360">
        <f t="shared" si="34"/>
        <v>0.24</v>
      </c>
      <c r="K12" s="4">
        <f t="shared" si="2"/>
        <v>6.3492063492063489E-2</v>
      </c>
      <c r="L12" s="4"/>
      <c r="M12" s="360">
        <f t="shared" si="3"/>
        <v>0.23827753747816827</v>
      </c>
      <c r="N12" s="4">
        <f t="shared" si="4"/>
        <v>1.8150394288170337</v>
      </c>
      <c r="O12" s="4">
        <f t="shared" si="35"/>
        <v>1.1475197144085167</v>
      </c>
      <c r="P12" s="4">
        <f t="shared" si="36"/>
        <v>-0.66751971440851687</v>
      </c>
      <c r="Q12" s="4">
        <f t="shared" si="5"/>
        <v>6.9787738045845984</v>
      </c>
      <c r="R12" s="4">
        <f t="shared" si="6"/>
        <v>0.57630779740231286</v>
      </c>
      <c r="S12" s="360">
        <f t="shared" si="7"/>
        <v>2.989176096120347E-3</v>
      </c>
      <c r="T12" s="360">
        <f t="shared" si="8"/>
        <v>0.3</v>
      </c>
      <c r="U12" s="360">
        <f t="shared" si="9"/>
        <v>0.30306164846694023</v>
      </c>
      <c r="V12" s="4">
        <f t="shared" si="37"/>
        <v>0.5239567514086495</v>
      </c>
      <c r="W12" s="360">
        <f t="shared" si="10"/>
        <v>5.490613546934107E-4</v>
      </c>
      <c r="X12" s="360">
        <f t="shared" si="38"/>
        <v>5.490613546934107E-4</v>
      </c>
      <c r="Y12" s="4">
        <f t="shared" si="11"/>
        <v>0.24552427004718591</v>
      </c>
      <c r="Z12" s="360">
        <f t="shared" si="12"/>
        <v>6.0282167182203475E-5</v>
      </c>
      <c r="AA12" s="541">
        <f t="shared" si="39"/>
        <v>6.0282167182203475E-5</v>
      </c>
      <c r="AB12" s="360">
        <f t="shared" si="13"/>
        <v>0.28131704519834733</v>
      </c>
      <c r="AC12" s="360">
        <f t="shared" si="14"/>
        <v>4.7483567951477393E-4</v>
      </c>
      <c r="AD12" s="360">
        <f t="shared" si="15"/>
        <v>1.9036584579976985E-2</v>
      </c>
      <c r="AE12" s="360">
        <f t="shared" si="16"/>
        <v>0.57638398427685444</v>
      </c>
      <c r="AF12" s="360">
        <f t="shared" si="17"/>
        <v>1.3737555722527276E-2</v>
      </c>
      <c r="AG12" s="360">
        <f t="shared" si="18"/>
        <v>0.60967696370792634</v>
      </c>
      <c r="AH12" s="360">
        <f t="shared" si="19"/>
        <v>0.50298250210874762</v>
      </c>
      <c r="AI12" s="360">
        <f t="shared" si="20"/>
        <v>6.3247849356894083E-4</v>
      </c>
      <c r="AJ12" s="360">
        <f t="shared" si="21"/>
        <v>2.3615955722527272E-2</v>
      </c>
      <c r="AK12" s="360">
        <f t="shared" si="22"/>
        <v>2.4251501926777299E-2</v>
      </c>
      <c r="AL12" s="360">
        <f t="shared" si="23"/>
        <v>9.878399999999999E-3</v>
      </c>
      <c r="AM12" s="360">
        <f t="shared" si="24"/>
        <v>7.9379999999999992E-2</v>
      </c>
      <c r="AN12" s="360">
        <f t="shared" si="25"/>
        <v>3.3213067734670526E-3</v>
      </c>
      <c r="AO12" s="360">
        <f t="shared" si="26"/>
        <v>7.3499999999999998E-4</v>
      </c>
      <c r="AP12" s="360">
        <f t="shared" si="27"/>
        <v>0.34650000000000003</v>
      </c>
      <c r="AQ12" s="360">
        <f t="shared" si="28"/>
        <v>1.3167</v>
      </c>
      <c r="AR12" s="360">
        <f t="shared" si="29"/>
        <v>1.1088</v>
      </c>
      <c r="AS12" s="360">
        <f t="shared" si="48"/>
        <v>0.34723500000000002</v>
      </c>
      <c r="AT12" s="360">
        <f t="shared" si="41"/>
        <v>1.3774141643969862</v>
      </c>
      <c r="AU12">
        <f t="shared" si="30"/>
        <v>1.2</v>
      </c>
      <c r="AV12" s="542">
        <f t="shared" si="42"/>
        <v>0.46558291506896915</v>
      </c>
      <c r="AW12" s="551">
        <f t="shared" si="31"/>
        <v>33.103388185396312</v>
      </c>
      <c r="AX12" s="551">
        <f t="shared" si="32"/>
        <v>1.9169822732175372</v>
      </c>
      <c r="AY12" s="9"/>
      <c r="AZ12" s="4">
        <f t="shared" si="43"/>
        <v>46.558291506896914</v>
      </c>
      <c r="BA12" s="360">
        <f t="shared" si="33"/>
        <v>0.30306164846694023</v>
      </c>
      <c r="BB12" s="360">
        <f t="shared" si="44"/>
        <v>0.71330846563470363</v>
      </c>
      <c r="BC12" s="360">
        <f t="shared" si="45"/>
        <v>0.6620677637079263</v>
      </c>
      <c r="BD12" s="360">
        <f t="shared" si="46"/>
        <v>5.0446901926777296E-2</v>
      </c>
      <c r="BE12" s="360">
        <f t="shared" si="47"/>
        <v>3.3213067734670526E-3</v>
      </c>
      <c r="BJ12" s="18"/>
      <c r="BK12" s="18"/>
      <c r="BL12" s="18"/>
      <c r="BM12" s="19"/>
    </row>
    <row r="13" spans="1:65" x14ac:dyDescent="0.2">
      <c r="A13" s="22" t="s">
        <v>6</v>
      </c>
      <c r="B13" s="5">
        <f>Fsw/1000</f>
        <v>2100</v>
      </c>
      <c r="C13" s="440" t="s">
        <v>2</v>
      </c>
      <c r="D13" s="21" t="s">
        <v>94</v>
      </c>
      <c r="G13">
        <v>4</v>
      </c>
      <c r="H13" s="548">
        <f t="shared" si="0"/>
        <v>21</v>
      </c>
      <c r="I13" s="4">
        <f t="shared" si="1"/>
        <v>1</v>
      </c>
      <c r="J13" s="360">
        <f t="shared" si="34"/>
        <v>0.32</v>
      </c>
      <c r="K13" s="4">
        <f t="shared" si="2"/>
        <v>8.4656084656084651E-2</v>
      </c>
      <c r="L13" s="4"/>
      <c r="M13" s="360">
        <f t="shared" si="3"/>
        <v>0.23833829792096783</v>
      </c>
      <c r="N13" s="4">
        <f t="shared" si="4"/>
        <v>1.8153660680502213</v>
      </c>
      <c r="O13" s="4">
        <f t="shared" si="35"/>
        <v>1.2276830340251106</v>
      </c>
      <c r="P13" s="4">
        <f t="shared" si="36"/>
        <v>-0.58768303402511068</v>
      </c>
      <c r="Q13" s="4">
        <f t="shared" si="5"/>
        <v>6.1440986306859457</v>
      </c>
      <c r="R13" s="4">
        <f t="shared" si="6"/>
        <v>0.61402727687973546</v>
      </c>
      <c r="S13" s="360">
        <f t="shared" si="7"/>
        <v>3.3932654707710896E-3</v>
      </c>
      <c r="T13" s="360">
        <f t="shared" si="8"/>
        <v>0.3</v>
      </c>
      <c r="U13" s="360">
        <f t="shared" si="9"/>
        <v>0.30347564734559968</v>
      </c>
      <c r="V13" s="4">
        <f t="shared" si="37"/>
        <v>0.52405104403325387</v>
      </c>
      <c r="W13" s="360">
        <f t="shared" si="10"/>
        <v>5.4925899350468678E-4</v>
      </c>
      <c r="X13" s="360">
        <f t="shared" si="38"/>
        <v>5.4925899350468678E-4</v>
      </c>
      <c r="Y13" s="4">
        <f t="shared" si="11"/>
        <v>0.26161680674264776</v>
      </c>
      <c r="Z13" s="360">
        <f t="shared" si="12"/>
        <v>6.8443353570219904E-5</v>
      </c>
      <c r="AA13" s="541">
        <f t="shared" si="39"/>
        <v>6.8443353570219904E-5</v>
      </c>
      <c r="AB13" s="360">
        <f t="shared" si="13"/>
        <v>0.29976752412820268</v>
      </c>
      <c r="AC13" s="360">
        <f t="shared" si="14"/>
        <v>5.3916341113171553E-4</v>
      </c>
      <c r="AD13" s="360">
        <f t="shared" si="15"/>
        <v>2.5382112773302646E-2</v>
      </c>
      <c r="AE13" s="360">
        <f t="shared" si="16"/>
        <v>0.59133526765749933</v>
      </c>
      <c r="AF13" s="360">
        <f t="shared" si="17"/>
        <v>1.2094516840236777E-2</v>
      </c>
      <c r="AG13" s="360">
        <f t="shared" si="18"/>
        <v>0.62940264201523788</v>
      </c>
      <c r="AH13" s="360">
        <f t="shared" si="19"/>
        <v>0.53588144979126751</v>
      </c>
      <c r="AI13" s="360">
        <f t="shared" si="20"/>
        <v>7.1792232057597686E-4</v>
      </c>
      <c r="AJ13" s="360">
        <f t="shared" si="21"/>
        <v>2.5265716840236773E-2</v>
      </c>
      <c r="AK13" s="360">
        <f t="shared" si="22"/>
        <v>2.5987370543486002E-2</v>
      </c>
      <c r="AL13" s="360">
        <f t="shared" si="23"/>
        <v>1.3171199999999999E-2</v>
      </c>
      <c r="AM13" s="360">
        <f t="shared" si="24"/>
        <v>0.10584</v>
      </c>
      <c r="AN13" s="360">
        <f t="shared" si="25"/>
        <v>3.7702949675234333E-3</v>
      </c>
      <c r="AO13" s="360">
        <f t="shared" si="26"/>
        <v>7.3499999999999998E-4</v>
      </c>
      <c r="AP13" s="360">
        <f t="shared" si="27"/>
        <v>0.34650000000000003</v>
      </c>
      <c r="AQ13" s="360">
        <f t="shared" si="28"/>
        <v>1.3167</v>
      </c>
      <c r="AR13" s="360">
        <f t="shared" si="29"/>
        <v>1.1088</v>
      </c>
      <c r="AS13" s="360">
        <f t="shared" si="48"/>
        <v>0.34723500000000002</v>
      </c>
      <c r="AT13" s="360">
        <f t="shared" si="41"/>
        <v>1.4294998572189217</v>
      </c>
      <c r="AU13">
        <f t="shared" si="30"/>
        <v>1.6</v>
      </c>
      <c r="AV13" s="542">
        <f t="shared" si="42"/>
        <v>0.52813998197999534</v>
      </c>
      <c r="AW13" s="551">
        <f t="shared" si="31"/>
        <v>34.962852100761893</v>
      </c>
      <c r="AX13" s="551">
        <f t="shared" si="32"/>
        <v>2.3147536806524682</v>
      </c>
      <c r="AY13" s="9"/>
      <c r="AZ13" s="4">
        <f t="shared" si="43"/>
        <v>52.813998197999531</v>
      </c>
      <c r="BA13" s="360">
        <f t="shared" si="33"/>
        <v>0.30347564734559968</v>
      </c>
      <c r="BB13" s="360">
        <f t="shared" si="44"/>
        <v>0.76123001255872391</v>
      </c>
      <c r="BC13" s="360">
        <f t="shared" si="45"/>
        <v>0.69925704201523786</v>
      </c>
      <c r="BD13" s="360">
        <f t="shared" si="46"/>
        <v>6.0914570543486007E-2</v>
      </c>
      <c r="BE13" s="360">
        <f t="shared" si="47"/>
        <v>3.7702949675234333E-3</v>
      </c>
      <c r="BJ13" s="18"/>
      <c r="BK13" s="18"/>
      <c r="BL13" s="18"/>
      <c r="BM13" s="19"/>
    </row>
    <row r="14" spans="1:65" x14ac:dyDescent="0.2">
      <c r="A14" s="22" t="s">
        <v>5</v>
      </c>
      <c r="B14" s="5">
        <f>Iout2</f>
        <v>8</v>
      </c>
      <c r="C14" s="440" t="s">
        <v>1</v>
      </c>
      <c r="D14" s="21" t="s">
        <v>95</v>
      </c>
      <c r="G14">
        <v>5</v>
      </c>
      <c r="H14" s="548">
        <f t="shared" si="0"/>
        <v>21</v>
      </c>
      <c r="I14" s="4">
        <f t="shared" si="1"/>
        <v>1</v>
      </c>
      <c r="J14" s="360">
        <f t="shared" si="34"/>
        <v>0.4</v>
      </c>
      <c r="K14" s="4">
        <f t="shared" si="2"/>
        <v>0.10582010582010581</v>
      </c>
      <c r="L14" s="4"/>
      <c r="M14" s="360">
        <f t="shared" si="3"/>
        <v>0.23839905535505126</v>
      </c>
      <c r="N14" s="4">
        <f t="shared" si="4"/>
        <v>1.8156926149279473</v>
      </c>
      <c r="O14" s="4">
        <f t="shared" si="35"/>
        <v>1.3078463074639737</v>
      </c>
      <c r="P14" s="4">
        <f t="shared" si="36"/>
        <v>-0.50784630746397363</v>
      </c>
      <c r="Q14" s="4">
        <f t="shared" si="5"/>
        <v>5.3094229740091343</v>
      </c>
      <c r="R14" s="4">
        <f t="shared" si="6"/>
        <v>0.65933929504617772</v>
      </c>
      <c r="S14" s="360">
        <f t="shared" si="7"/>
        <v>3.9125547539279153E-3</v>
      </c>
      <c r="T14" s="360">
        <f t="shared" si="8"/>
        <v>0.3</v>
      </c>
      <c r="U14" s="360">
        <f t="shared" si="9"/>
        <v>0.30400771049896341</v>
      </c>
      <c r="V14" s="4">
        <f t="shared" si="37"/>
        <v>0.52414530999713294</v>
      </c>
      <c r="W14" s="360">
        <f t="shared" si="10"/>
        <v>5.4945661198398121E-4</v>
      </c>
      <c r="X14" s="360">
        <f t="shared" si="38"/>
        <v>5.4945661198398121E-4</v>
      </c>
      <c r="Y14" s="4">
        <f t="shared" si="11"/>
        <v>0.28094736392810465</v>
      </c>
      <c r="Z14" s="360">
        <f t="shared" si="12"/>
        <v>7.8931421298150887E-5</v>
      </c>
      <c r="AA14" s="541">
        <f t="shared" si="39"/>
        <v>7.8931421298150887E-5</v>
      </c>
      <c r="AB14" s="360">
        <f t="shared" si="13"/>
        <v>0.32192983316957785</v>
      </c>
      <c r="AC14" s="360">
        <f t="shared" si="14"/>
        <v>6.218329049075533E-4</v>
      </c>
      <c r="AD14" s="360">
        <f t="shared" si="15"/>
        <v>3.1727640966628307E-2</v>
      </c>
      <c r="AE14" s="360">
        <f t="shared" si="16"/>
        <v>0.60411102690008123</v>
      </c>
      <c r="AF14" s="360">
        <f t="shared" si="17"/>
        <v>1.0451477007608576E-2</v>
      </c>
      <c r="AG14" s="360">
        <f t="shared" si="18"/>
        <v>0.64697312877459534</v>
      </c>
      <c r="AH14" s="360">
        <f t="shared" si="19"/>
        <v>0.57540376129062487</v>
      </c>
      <c r="AI14" s="360">
        <f t="shared" si="20"/>
        <v>8.2772372126849604E-4</v>
      </c>
      <c r="AJ14" s="360">
        <f t="shared" si="21"/>
        <v>2.6915477007608574E-2</v>
      </c>
      <c r="AK14" s="360">
        <f t="shared" si="22"/>
        <v>2.774779423037654E-2</v>
      </c>
      <c r="AL14" s="360">
        <f t="shared" si="23"/>
        <v>1.6463999999999999E-2</v>
      </c>
      <c r="AM14" s="360">
        <f t="shared" si="24"/>
        <v>0.1323</v>
      </c>
      <c r="AN14" s="360">
        <f t="shared" si="25"/>
        <v>4.3472830599199062E-3</v>
      </c>
      <c r="AO14" s="360">
        <f t="shared" si="26"/>
        <v>7.3499999999999998E-4</v>
      </c>
      <c r="AP14" s="360">
        <f t="shared" si="27"/>
        <v>0.34650000000000003</v>
      </c>
      <c r="AQ14" s="360">
        <f t="shared" si="28"/>
        <v>1.3167</v>
      </c>
      <c r="AR14" s="360">
        <f t="shared" si="29"/>
        <v>1.1088</v>
      </c>
      <c r="AS14" s="360">
        <f t="shared" si="48"/>
        <v>0.34723500000000002</v>
      </c>
      <c r="AT14" s="360">
        <f t="shared" si="41"/>
        <v>1.4797033045971373</v>
      </c>
      <c r="AU14">
        <f t="shared" si="30"/>
        <v>2</v>
      </c>
      <c r="AV14" s="542">
        <f t="shared" si="42"/>
        <v>0.57476164630408044</v>
      </c>
      <c r="AW14" s="551">
        <f t="shared" si="31"/>
        <v>36.714556438729765</v>
      </c>
      <c r="AX14" s="551">
        <f t="shared" si="32"/>
        <v>2.7134581807543086</v>
      </c>
      <c r="AY14" s="9"/>
      <c r="AZ14" s="4">
        <f t="shared" si="43"/>
        <v>57.476164630408043</v>
      </c>
      <c r="BA14" s="360">
        <f t="shared" si="33"/>
        <v>0.30400771049896341</v>
      </c>
      <c r="BB14" s="360">
        <f t="shared" si="44"/>
        <v>0.80702092300497186</v>
      </c>
      <c r="BC14" s="360">
        <f t="shared" si="45"/>
        <v>0.73429112877459535</v>
      </c>
      <c r="BD14" s="360">
        <f t="shared" si="46"/>
        <v>7.1406794230376547E-2</v>
      </c>
      <c r="BE14" s="360">
        <f t="shared" si="47"/>
        <v>4.3472830599199062E-3</v>
      </c>
      <c r="BJ14" s="18"/>
      <c r="BK14" s="18"/>
      <c r="BL14" s="18"/>
      <c r="BM14" s="19"/>
    </row>
    <row r="15" spans="1:65" x14ac:dyDescent="0.2">
      <c r="A15" s="23" t="s">
        <v>83</v>
      </c>
      <c r="B15" s="5">
        <f>Ta</f>
        <v>25</v>
      </c>
      <c r="C15" s="440" t="s">
        <v>465</v>
      </c>
      <c r="D15" s="21" t="s">
        <v>96</v>
      </c>
      <c r="G15">
        <v>6</v>
      </c>
      <c r="H15" s="548">
        <f t="shared" si="0"/>
        <v>21</v>
      </c>
      <c r="I15" s="4">
        <f t="shared" si="1"/>
        <v>1</v>
      </c>
      <c r="J15" s="360">
        <f t="shared" si="34"/>
        <v>0.48</v>
      </c>
      <c r="K15" s="4">
        <f t="shared" si="2"/>
        <v>0.12698412698412698</v>
      </c>
      <c r="L15" s="4"/>
      <c r="M15" s="360">
        <f t="shared" si="3"/>
        <v>0.23845980978064213</v>
      </c>
      <c r="N15" s="4">
        <f t="shared" si="4"/>
        <v>1.8160190694570728</v>
      </c>
      <c r="O15" s="4">
        <f t="shared" si="35"/>
        <v>1.3880095347285364</v>
      </c>
      <c r="P15" s="4">
        <f t="shared" si="36"/>
        <v>-0.42800953472853642</v>
      </c>
      <c r="Q15" s="4">
        <f t="shared" si="5"/>
        <v>4.4747468345900314</v>
      </c>
      <c r="R15" s="4">
        <f t="shared" si="6"/>
        <v>0.71079329277409786</v>
      </c>
      <c r="S15" s="360">
        <f t="shared" si="7"/>
        <v>4.5470439454737997E-3</v>
      </c>
      <c r="T15" s="360">
        <f t="shared" si="8"/>
        <v>0.3</v>
      </c>
      <c r="U15" s="360">
        <f t="shared" si="9"/>
        <v>0.30465786736237227</v>
      </c>
      <c r="V15" s="4">
        <f t="shared" si="37"/>
        <v>0.52423954930226735</v>
      </c>
      <c r="W15" s="360">
        <f t="shared" si="10"/>
        <v>5.4965421010528886E-4</v>
      </c>
      <c r="X15" s="360">
        <f t="shared" si="38"/>
        <v>5.4965421010528886E-4</v>
      </c>
      <c r="Y15" s="4">
        <f t="shared" si="11"/>
        <v>0.30289864580282966</v>
      </c>
      <c r="Z15" s="360">
        <f t="shared" si="12"/>
        <v>9.1747589629188059E-5</v>
      </c>
      <c r="AA15" s="541">
        <f t="shared" si="39"/>
        <v>9.1747589629188059E-5</v>
      </c>
      <c r="AB15" s="360">
        <f t="shared" si="13"/>
        <v>0.34709704603594377</v>
      </c>
      <c r="AC15" s="360">
        <f t="shared" si="14"/>
        <v>7.2285815620126833E-4</v>
      </c>
      <c r="AD15" s="360">
        <f t="shared" si="15"/>
        <v>3.8073169159953971E-2</v>
      </c>
      <c r="AE15" s="360">
        <f t="shared" si="16"/>
        <v>0.61471125822919204</v>
      </c>
      <c r="AF15" s="360">
        <f t="shared" si="17"/>
        <v>8.8084362247132786E-3</v>
      </c>
      <c r="AG15" s="360">
        <f t="shared" si="18"/>
        <v>0.66238850133553684</v>
      </c>
      <c r="AH15" s="360">
        <f t="shared" si="19"/>
        <v>0.62028279492967264</v>
      </c>
      <c r="AI15" s="360">
        <f t="shared" si="20"/>
        <v>9.6187686421441581E-4</v>
      </c>
      <c r="AJ15" s="360">
        <f t="shared" si="21"/>
        <v>2.8565236224713277E-2</v>
      </c>
      <c r="AK15" s="360">
        <f t="shared" si="22"/>
        <v>2.9532794471275197E-2</v>
      </c>
      <c r="AL15" s="360">
        <f t="shared" si="23"/>
        <v>1.9756799999999998E-2</v>
      </c>
      <c r="AM15" s="360">
        <f t="shared" si="24"/>
        <v>0.15875999999999998</v>
      </c>
      <c r="AN15" s="360">
        <f t="shared" si="25"/>
        <v>5.0522710505264447E-3</v>
      </c>
      <c r="AO15" s="360">
        <f t="shared" si="26"/>
        <v>7.3499999999999998E-4</v>
      </c>
      <c r="AP15" s="360">
        <f t="shared" si="27"/>
        <v>0.34650000000000003</v>
      </c>
      <c r="AQ15" s="360">
        <f t="shared" si="28"/>
        <v>1.3167</v>
      </c>
      <c r="AR15" s="360">
        <f t="shared" si="29"/>
        <v>1.1088</v>
      </c>
      <c r="AS15" s="360">
        <f t="shared" si="48"/>
        <v>0.34723500000000002</v>
      </c>
      <c r="AT15" s="360">
        <f t="shared" si="41"/>
        <v>1.5280246360194454</v>
      </c>
      <c r="AU15">
        <f t="shared" si="30"/>
        <v>2.4</v>
      </c>
      <c r="AV15" s="542">
        <f t="shared" si="42"/>
        <v>0.6109941312466145</v>
      </c>
      <c r="AW15" s="551">
        <f t="shared" si="31"/>
        <v>38.358505066776843</v>
      </c>
      <c r="AX15" s="551">
        <f t="shared" si="32"/>
        <v>3.1130965899084573</v>
      </c>
      <c r="AY15" s="9"/>
      <c r="AZ15" s="4">
        <f t="shared" si="43"/>
        <v>61.099413124661453</v>
      </c>
      <c r="BA15" s="360">
        <f t="shared" si="33"/>
        <v>0.30465786736237227</v>
      </c>
      <c r="BB15" s="360">
        <f t="shared" si="44"/>
        <v>0.85068129580681207</v>
      </c>
      <c r="BC15" s="360">
        <f t="shared" si="45"/>
        <v>0.76717010133553687</v>
      </c>
      <c r="BD15" s="360">
        <f t="shared" si="46"/>
        <v>8.1923594471275188E-2</v>
      </c>
      <c r="BE15" s="360">
        <f t="shared" si="47"/>
        <v>5.0522710505264447E-3</v>
      </c>
      <c r="BJ15" s="18"/>
      <c r="BK15" s="18"/>
      <c r="BL15" s="18"/>
      <c r="BM15" s="19"/>
    </row>
    <row r="16" spans="1:65" x14ac:dyDescent="0.2">
      <c r="A16" s="448" t="s">
        <v>476</v>
      </c>
      <c r="B16" s="5">
        <f>VCC</f>
        <v>5</v>
      </c>
      <c r="C16" s="440" t="s">
        <v>0</v>
      </c>
      <c r="D16" s="440" t="s">
        <v>475</v>
      </c>
      <c r="G16">
        <v>7</v>
      </c>
      <c r="H16" s="548">
        <f t="shared" si="0"/>
        <v>21</v>
      </c>
      <c r="I16" s="4">
        <f t="shared" si="1"/>
        <v>1</v>
      </c>
      <c r="J16" s="360">
        <f t="shared" si="34"/>
        <v>0.56000000000000005</v>
      </c>
      <c r="K16" s="4">
        <f t="shared" si="2"/>
        <v>0.14814814814814814</v>
      </c>
      <c r="L16" s="4"/>
      <c r="M16" s="360">
        <f t="shared" si="3"/>
        <v>0.23852056119796378</v>
      </c>
      <c r="N16" s="4">
        <f t="shared" si="4"/>
        <v>1.8163454316444556</v>
      </c>
      <c r="O16" s="4">
        <f t="shared" si="35"/>
        <v>1.4681727158222277</v>
      </c>
      <c r="P16" s="4">
        <f t="shared" si="36"/>
        <v>-0.34817271582222775</v>
      </c>
      <c r="Q16" s="4">
        <f t="shared" si="5"/>
        <v>3.640070212464483</v>
      </c>
      <c r="R16" s="4">
        <f t="shared" si="6"/>
        <v>0.76715441334929901</v>
      </c>
      <c r="S16" s="360">
        <f t="shared" si="7"/>
        <v>5.2967330452917639E-3</v>
      </c>
      <c r="T16" s="360">
        <f t="shared" si="8"/>
        <v>0.3</v>
      </c>
      <c r="U16" s="360">
        <f t="shared" si="9"/>
        <v>0.30542615390947647</v>
      </c>
      <c r="V16" s="4">
        <f t="shared" si="37"/>
        <v>0.52433376195063675</v>
      </c>
      <c r="W16" s="360">
        <f t="shared" si="10"/>
        <v>5.4985178784261403E-4</v>
      </c>
      <c r="X16" s="360">
        <f t="shared" si="38"/>
        <v>5.4985178784261403E-4</v>
      </c>
      <c r="Y16" s="4">
        <f t="shared" si="11"/>
        <v>0.32694506746388746</v>
      </c>
      <c r="Z16" s="360">
        <f t="shared" si="12"/>
        <v>1.0689307713896593E-4</v>
      </c>
      <c r="AA16" s="541">
        <f t="shared" si="39"/>
        <v>1.0689307713896593E-4</v>
      </c>
      <c r="AB16" s="360">
        <f t="shared" si="13"/>
        <v>0.37466722100771438</v>
      </c>
      <c r="AC16" s="360">
        <f t="shared" si="14"/>
        <v>8.4225315898586088E-4</v>
      </c>
      <c r="AD16" s="360">
        <f t="shared" si="15"/>
        <v>4.4418697353279642E-2</v>
      </c>
      <c r="AE16" s="360">
        <f t="shared" si="16"/>
        <v>0.62313595786979525</v>
      </c>
      <c r="AF16" s="360">
        <f t="shared" si="17"/>
        <v>7.1653944916214461E-3</v>
      </c>
      <c r="AG16" s="360">
        <f t="shared" si="18"/>
        <v>0.67564880110892134</v>
      </c>
      <c r="AH16" s="360">
        <f t="shared" si="19"/>
        <v>0.66944033895759802</v>
      </c>
      <c r="AI16" s="360">
        <f t="shared" si="20"/>
        <v>1.1203759185591594E-3</v>
      </c>
      <c r="AJ16" s="360">
        <f t="shared" si="21"/>
        <v>3.0214994491621443E-2</v>
      </c>
      <c r="AK16" s="360">
        <f t="shared" si="22"/>
        <v>3.1342393462753741E-2</v>
      </c>
      <c r="AL16" s="360">
        <f t="shared" si="23"/>
        <v>2.30496E-2</v>
      </c>
      <c r="AM16" s="360">
        <f t="shared" si="24"/>
        <v>0.18522000000000002</v>
      </c>
      <c r="AN16" s="360">
        <f t="shared" si="25"/>
        <v>5.8852589392130719E-3</v>
      </c>
      <c r="AO16" s="360">
        <f t="shared" si="26"/>
        <v>7.3499999999999998E-4</v>
      </c>
      <c r="AP16" s="360">
        <f t="shared" si="27"/>
        <v>0.34650000000000003</v>
      </c>
      <c r="AQ16" s="360">
        <f t="shared" si="28"/>
        <v>1.3167</v>
      </c>
      <c r="AR16" s="360">
        <f t="shared" si="29"/>
        <v>1.1088</v>
      </c>
      <c r="AS16" s="360">
        <f t="shared" si="48"/>
        <v>0.34723500000000002</v>
      </c>
      <c r="AT16" s="360">
        <f t="shared" si="41"/>
        <v>1.5744639522853461</v>
      </c>
      <c r="AU16">
        <f t="shared" si="30"/>
        <v>2.8000000000000003</v>
      </c>
      <c r="AV16" s="542">
        <f t="shared" si="42"/>
        <v>0.64007842573195728</v>
      </c>
      <c r="AW16" s="551">
        <f t="shared" si="31"/>
        <v>39.894700055446073</v>
      </c>
      <c r="AX16" s="551">
        <f t="shared" si="32"/>
        <v>3.5136697515846422</v>
      </c>
      <c r="AY16" s="9"/>
      <c r="AZ16" s="4">
        <f t="shared" si="43"/>
        <v>64.007842573195731</v>
      </c>
      <c r="BA16" s="360">
        <f t="shared" si="33"/>
        <v>0.30542615390947647</v>
      </c>
      <c r="BB16" s="360">
        <f t="shared" si="44"/>
        <v>0.89221119457167508</v>
      </c>
      <c r="BC16" s="360">
        <f t="shared" si="45"/>
        <v>0.79789400110892139</v>
      </c>
      <c r="BD16" s="360">
        <f t="shared" si="46"/>
        <v>9.2464993462753747E-2</v>
      </c>
      <c r="BE16" s="360">
        <f t="shared" si="47"/>
        <v>5.8852589392130719E-3</v>
      </c>
      <c r="BJ16" s="18"/>
      <c r="BK16" s="18"/>
      <c r="BL16" s="18"/>
      <c r="BM16" s="19"/>
    </row>
    <row r="17" spans="1:65" x14ac:dyDescent="0.2">
      <c r="A17" s="24" t="s">
        <v>58</v>
      </c>
      <c r="B17" s="16" t="s">
        <v>111</v>
      </c>
      <c r="C17" s="24" t="s">
        <v>76</v>
      </c>
      <c r="D17" s="17" t="s">
        <v>107</v>
      </c>
      <c r="G17">
        <v>8</v>
      </c>
      <c r="H17" s="548">
        <f t="shared" si="0"/>
        <v>21</v>
      </c>
      <c r="I17" s="4">
        <f t="shared" si="1"/>
        <v>1</v>
      </c>
      <c r="J17" s="360">
        <f t="shared" si="34"/>
        <v>0.64</v>
      </c>
      <c r="K17" s="4">
        <f t="shared" si="2"/>
        <v>0.1693121693121693</v>
      </c>
      <c r="L17" s="4"/>
      <c r="M17" s="360">
        <f t="shared" si="3"/>
        <v>0.23858130960723969</v>
      </c>
      <c r="N17" s="4">
        <f t="shared" si="4"/>
        <v>1.8166717014969551</v>
      </c>
      <c r="O17" s="4">
        <f t="shared" si="35"/>
        <v>1.5483358507484777</v>
      </c>
      <c r="P17" s="4">
        <f t="shared" si="36"/>
        <v>-0.26833585074847754</v>
      </c>
      <c r="Q17" s="4">
        <f t="shared" si="5"/>
        <v>2.8053931076683485</v>
      </c>
      <c r="R17" s="4">
        <f t="shared" si="6"/>
        <v>0.82742049321066902</v>
      </c>
      <c r="S17" s="360">
        <f t="shared" si="7"/>
        <v>6.1616220532648806E-3</v>
      </c>
      <c r="T17" s="360">
        <f t="shared" si="8"/>
        <v>0.3</v>
      </c>
      <c r="U17" s="360">
        <f t="shared" si="9"/>
        <v>0.30631261265721221</v>
      </c>
      <c r="V17" s="4">
        <f t="shared" si="37"/>
        <v>0.52442794794422132</v>
      </c>
      <c r="W17" s="360">
        <f t="shared" si="10"/>
        <v>5.5004934516997381E-4</v>
      </c>
      <c r="X17" s="360">
        <f t="shared" si="38"/>
        <v>5.5004934516997381E-4</v>
      </c>
      <c r="Y17" s="4">
        <f t="shared" si="11"/>
        <v>0.35266003702676213</v>
      </c>
      <c r="Z17" s="360">
        <f t="shared" si="12"/>
        <v>1.2436910171571724E-4</v>
      </c>
      <c r="AA17" s="541">
        <f t="shared" si="39"/>
        <v>1.2436910171571724E-4</v>
      </c>
      <c r="AB17" s="360">
        <f t="shared" si="13"/>
        <v>0.40415176725427521</v>
      </c>
      <c r="AC17" s="360">
        <f t="shared" si="14"/>
        <v>9.8003190584852306E-4</v>
      </c>
      <c r="AD17" s="360">
        <f t="shared" si="15"/>
        <v>5.0764225546605292E-2</v>
      </c>
      <c r="AE17" s="360">
        <f t="shared" si="16"/>
        <v>0.62938512204722652</v>
      </c>
      <c r="AF17" s="360">
        <f t="shared" si="17"/>
        <v>5.5223518084036669E-3</v>
      </c>
      <c r="AG17" s="360">
        <f t="shared" si="18"/>
        <v>0.68675403351946052</v>
      </c>
      <c r="AH17" s="360">
        <f t="shared" si="19"/>
        <v>0.72200140000572921</v>
      </c>
      <c r="AI17" s="360">
        <f t="shared" si="20"/>
        <v>1.3032150540255823E-3</v>
      </c>
      <c r="AJ17" s="360">
        <f t="shared" si="21"/>
        <v>3.1864751808403667E-2</v>
      </c>
      <c r="AK17" s="360">
        <f t="shared" si="22"/>
        <v>3.31766141150205E-2</v>
      </c>
      <c r="AL17" s="360">
        <f t="shared" si="23"/>
        <v>2.6342399999999998E-2</v>
      </c>
      <c r="AM17" s="360">
        <f t="shared" si="24"/>
        <v>0.21168000000000001</v>
      </c>
      <c r="AN17" s="360">
        <f t="shared" si="25"/>
        <v>6.8462467258498683E-3</v>
      </c>
      <c r="AO17" s="360">
        <f t="shared" si="26"/>
        <v>7.3499999999999998E-4</v>
      </c>
      <c r="AP17" s="360">
        <f t="shared" si="27"/>
        <v>0.34650000000000003</v>
      </c>
      <c r="AQ17" s="360">
        <f t="shared" si="28"/>
        <v>1.3167</v>
      </c>
      <c r="AR17" s="360">
        <f t="shared" si="29"/>
        <v>1.1088</v>
      </c>
      <c r="AS17" s="360">
        <f t="shared" si="48"/>
        <v>0.34723500000000002</v>
      </c>
      <c r="AT17" s="360">
        <f t="shared" si="41"/>
        <v>1.619021325464429</v>
      </c>
      <c r="AU17">
        <f t="shared" si="30"/>
        <v>3.2</v>
      </c>
      <c r="AV17" s="542">
        <f t="shared" si="42"/>
        <v>0.66403524364806643</v>
      </c>
      <c r="AW17" s="551">
        <f t="shared" si="31"/>
        <v>41.323141675973027</v>
      </c>
      <c r="AX17" s="551">
        <f t="shared" si="32"/>
        <v>3.9151785363707794</v>
      </c>
      <c r="AY17" s="9"/>
      <c r="AZ17" s="4">
        <f t="shared" si="43"/>
        <v>66.403524364806643</v>
      </c>
      <c r="BA17" s="360">
        <f t="shared" si="33"/>
        <v>0.30631261265721221</v>
      </c>
      <c r="BB17" s="360">
        <f t="shared" si="44"/>
        <v>0.93161064763448098</v>
      </c>
      <c r="BC17" s="360">
        <f t="shared" si="45"/>
        <v>0.82646283351946059</v>
      </c>
      <c r="BD17" s="360">
        <f t="shared" si="46"/>
        <v>0.10303101411502051</v>
      </c>
      <c r="BE17" s="360">
        <f t="shared" si="47"/>
        <v>6.8462467258498683E-3</v>
      </c>
      <c r="BJ17" s="18"/>
      <c r="BK17" s="18"/>
      <c r="BL17" s="18"/>
      <c r="BM17" s="19"/>
    </row>
    <row r="18" spans="1:65" x14ac:dyDescent="0.2">
      <c r="A18" s="35" t="s">
        <v>56</v>
      </c>
      <c r="B18" s="38">
        <f>Lo_2*1000000</f>
        <v>1</v>
      </c>
      <c r="C18" s="441" t="s">
        <v>10</v>
      </c>
      <c r="D18" s="440" t="s">
        <v>468</v>
      </c>
      <c r="G18">
        <v>9</v>
      </c>
      <c r="H18" s="548">
        <f t="shared" si="0"/>
        <v>21</v>
      </c>
      <c r="I18" s="4">
        <f t="shared" si="1"/>
        <v>1</v>
      </c>
      <c r="J18" s="360">
        <f t="shared" si="34"/>
        <v>0.72</v>
      </c>
      <c r="K18" s="4">
        <f t="shared" si="2"/>
        <v>0.19047619047619044</v>
      </c>
      <c r="L18" s="4"/>
      <c r="M18" s="360">
        <f t="shared" si="3"/>
        <v>0.23864205500869329</v>
      </c>
      <c r="N18" s="4">
        <f t="shared" si="4"/>
        <v>1.8169978790214278</v>
      </c>
      <c r="O18" s="4">
        <f t="shared" si="35"/>
        <v>1.6284989395107139</v>
      </c>
      <c r="P18" s="4">
        <f t="shared" si="36"/>
        <v>-0.18849893951071395</v>
      </c>
      <c r="Q18" s="4">
        <f t="shared" si="5"/>
        <v>1.9707155202374693</v>
      </c>
      <c r="R18" s="4">
        <f t="shared" si="6"/>
        <v>0.89079932702640574</v>
      </c>
      <c r="S18" s="360">
        <f t="shared" si="7"/>
        <v>7.1417109692762763E-3</v>
      </c>
      <c r="T18" s="360">
        <f t="shared" si="8"/>
        <v>0.3</v>
      </c>
      <c r="U18" s="360">
        <f t="shared" si="9"/>
        <v>0.307317292671686</v>
      </c>
      <c r="V18" s="4">
        <f t="shared" si="37"/>
        <v>0.52452210728500026</v>
      </c>
      <c r="W18" s="360">
        <f t="shared" si="10"/>
        <v>5.5024688206139463E-4</v>
      </c>
      <c r="X18" s="360">
        <f t="shared" si="38"/>
        <v>5.5024688206139463E-4</v>
      </c>
      <c r="Y18" s="4">
        <f t="shared" si="11"/>
        <v>0.37970630829685759</v>
      </c>
      <c r="Z18" s="360">
        <f t="shared" si="12"/>
        <v>1.4417688056042827E-4</v>
      </c>
      <c r="AA18" s="541">
        <f t="shared" si="39"/>
        <v>1.4417688056042827E-4</v>
      </c>
      <c r="AB18" s="360">
        <f t="shared" si="13"/>
        <v>0.43516441107371734</v>
      </c>
      <c r="AC18" s="360">
        <f t="shared" si="14"/>
        <v>1.1362083879908115E-3</v>
      </c>
      <c r="AD18" s="360">
        <f t="shared" si="15"/>
        <v>5.7109753739930956E-2</v>
      </c>
      <c r="AE18" s="360">
        <f t="shared" si="16"/>
        <v>0.63345874698719296</v>
      </c>
      <c r="AF18" s="360">
        <f t="shared" si="17"/>
        <v>3.8793081751304932E-3</v>
      </c>
      <c r="AG18" s="360">
        <f t="shared" si="18"/>
        <v>0.6957041679567465</v>
      </c>
      <c r="AH18" s="360">
        <f t="shared" si="19"/>
        <v>0.77727432503946903</v>
      </c>
      <c r="AI18" s="360">
        <f t="shared" si="20"/>
        <v>1.5103884409139055E-3</v>
      </c>
      <c r="AJ18" s="360">
        <f t="shared" si="21"/>
        <v>3.3514508175130485E-2</v>
      </c>
      <c r="AK18" s="360">
        <f t="shared" si="22"/>
        <v>3.5035480052863131E-2</v>
      </c>
      <c r="AL18" s="360">
        <f t="shared" si="23"/>
        <v>2.9635199999999997E-2</v>
      </c>
      <c r="AM18" s="360">
        <f t="shared" si="24"/>
        <v>0.23813999999999999</v>
      </c>
      <c r="AN18" s="360">
        <f t="shared" si="25"/>
        <v>7.9352344103069735E-3</v>
      </c>
      <c r="AO18" s="360">
        <f t="shared" si="26"/>
        <v>7.3499999999999998E-4</v>
      </c>
      <c r="AP18" s="360">
        <f t="shared" si="27"/>
        <v>0.34650000000000003</v>
      </c>
      <c r="AQ18" s="360">
        <f t="shared" si="28"/>
        <v>1.3167</v>
      </c>
      <c r="AR18" s="360">
        <f t="shared" si="29"/>
        <v>1.1088</v>
      </c>
      <c r="AS18" s="360">
        <f t="shared" si="48"/>
        <v>0.34723500000000002</v>
      </c>
      <c r="AT18" s="360">
        <f t="shared" si="41"/>
        <v>1.6616967988542244</v>
      </c>
      <c r="AU18">
        <f t="shared" si="30"/>
        <v>3.5999999999999996</v>
      </c>
      <c r="AV18" s="542">
        <f t="shared" si="42"/>
        <v>0.68418993674890727</v>
      </c>
      <c r="AW18" s="551">
        <f t="shared" si="31"/>
        <v>42.643828397837325</v>
      </c>
      <c r="AX18" s="551">
        <f t="shared" si="32"/>
        <v>4.3176238420087989</v>
      </c>
      <c r="AY18" s="9"/>
      <c r="AZ18" s="4">
        <f t="shared" si="43"/>
        <v>68.418993674890729</v>
      </c>
      <c r="BA18" s="360">
        <f t="shared" si="33"/>
        <v>0.307317292671686</v>
      </c>
      <c r="BB18" s="360">
        <f t="shared" si="44"/>
        <v>0.96887964800960968</v>
      </c>
      <c r="BC18" s="360">
        <f t="shared" si="45"/>
        <v>0.85287656795674649</v>
      </c>
      <c r="BD18" s="360">
        <f t="shared" si="46"/>
        <v>0.11362168005286313</v>
      </c>
      <c r="BE18" s="360">
        <f t="shared" si="47"/>
        <v>7.9352344103069735E-3</v>
      </c>
      <c r="BK18" s="18"/>
      <c r="BL18" s="19"/>
    </row>
    <row r="19" spans="1:65" x14ac:dyDescent="0.2">
      <c r="A19" s="35" t="s">
        <v>11</v>
      </c>
      <c r="B19" s="39">
        <f>Rdcr2*1000</f>
        <v>9</v>
      </c>
      <c r="C19" s="442" t="s">
        <v>466</v>
      </c>
      <c r="D19" s="440" t="s">
        <v>469</v>
      </c>
      <c r="G19">
        <v>10</v>
      </c>
      <c r="H19" s="548">
        <f t="shared" si="0"/>
        <v>21</v>
      </c>
      <c r="I19" s="4">
        <f t="shared" si="1"/>
        <v>1</v>
      </c>
      <c r="J19" s="360">
        <f t="shared" si="34"/>
        <v>0.8</v>
      </c>
      <c r="K19" s="4">
        <f t="shared" si="2"/>
        <v>0.21164021164021163</v>
      </c>
      <c r="L19" s="4"/>
      <c r="M19" s="360">
        <f t="shared" si="3"/>
        <v>0.23870279740254796</v>
      </c>
      <c r="N19" s="4">
        <f t="shared" si="4"/>
        <v>1.8173239642247316</v>
      </c>
      <c r="O19" s="4">
        <f t="shared" si="35"/>
        <v>1.7086619821123659</v>
      </c>
      <c r="P19" s="4">
        <f t="shared" si="36"/>
        <v>-0.10866198211236577</v>
      </c>
      <c r="Q19" s="4">
        <f t="shared" si="5"/>
        <v>1.1360374502076924</v>
      </c>
      <c r="R19" s="4">
        <f t="shared" si="6"/>
        <v>0.9566724618412813</v>
      </c>
      <c r="S19" s="360">
        <f t="shared" si="7"/>
        <v>8.23699979320912E-3</v>
      </c>
      <c r="T19" s="360">
        <f t="shared" si="8"/>
        <v>0.3</v>
      </c>
      <c r="U19" s="360">
        <f t="shared" si="9"/>
        <v>0.30844024957496646</v>
      </c>
      <c r="V19" s="4">
        <f t="shared" si="37"/>
        <v>0.52461623997495332</v>
      </c>
      <c r="W19" s="360">
        <f t="shared" si="10"/>
        <v>5.504443984909157E-4</v>
      </c>
      <c r="X19" s="360">
        <f t="shared" si="38"/>
        <v>5.504443984909157E-4</v>
      </c>
      <c r="Y19" s="4">
        <f t="shared" si="11"/>
        <v>0.40782058578128921</v>
      </c>
      <c r="Z19" s="360">
        <f t="shared" si="12"/>
        <v>1.663176301869939E-4</v>
      </c>
      <c r="AA19" s="541">
        <f t="shared" si="39"/>
        <v>1.663176301869939E-4</v>
      </c>
      <c r="AB19" s="360">
        <f t="shared" si="13"/>
        <v>0.46740357209247224</v>
      </c>
      <c r="AC19" s="360">
        <f t="shared" si="14"/>
        <v>1.3107965952288173E-3</v>
      </c>
      <c r="AD19" s="360">
        <f t="shared" si="15"/>
        <v>6.3455281933256613E-2</v>
      </c>
      <c r="AE19" s="360">
        <f t="shared" si="16"/>
        <v>0.63535682891577294</v>
      </c>
      <c r="AF19" s="360">
        <f t="shared" si="17"/>
        <v>2.2362635918724877E-3</v>
      </c>
      <c r="AG19" s="360">
        <f t="shared" si="18"/>
        <v>0.70249913772476869</v>
      </c>
      <c r="AH19" s="360">
        <f t="shared" si="19"/>
        <v>0.83471917435785248</v>
      </c>
      <c r="AI19" s="360">
        <f t="shared" si="20"/>
        <v>1.7418902501016374E-3</v>
      </c>
      <c r="AJ19" s="360">
        <f t="shared" si="21"/>
        <v>3.5164263591872483E-2</v>
      </c>
      <c r="AK19" s="360">
        <f t="shared" si="22"/>
        <v>3.6919015616643312E-2</v>
      </c>
      <c r="AL19" s="360">
        <f t="shared" si="23"/>
        <v>3.2927999999999999E-2</v>
      </c>
      <c r="AM19" s="360">
        <f t="shared" si="24"/>
        <v>0.2646</v>
      </c>
      <c r="AN19" s="360">
        <f t="shared" si="25"/>
        <v>9.1522219924545772E-3</v>
      </c>
      <c r="AO19" s="360">
        <f t="shared" si="26"/>
        <v>7.3499999999999998E-4</v>
      </c>
      <c r="AP19" s="360">
        <f t="shared" si="27"/>
        <v>0.34650000000000003</v>
      </c>
      <c r="AQ19" s="360">
        <f t="shared" si="28"/>
        <v>1.3167</v>
      </c>
      <c r="AR19" s="360">
        <f t="shared" si="29"/>
        <v>1.1088</v>
      </c>
      <c r="AS19" s="360">
        <f t="shared" si="48"/>
        <v>0.34723500000000002</v>
      </c>
      <c r="AT19" s="360">
        <f t="shared" si="41"/>
        <v>1.7024903869375108</v>
      </c>
      <c r="AU19">
        <f t="shared" si="30"/>
        <v>4</v>
      </c>
      <c r="AV19" s="542">
        <f t="shared" si="42"/>
        <v>0.70144791636346393</v>
      </c>
      <c r="AW19" s="551">
        <f t="shared" si="31"/>
        <v>43.856756886238436</v>
      </c>
      <c r="AX19" s="551">
        <f t="shared" si="32"/>
        <v>4.7210065934324463</v>
      </c>
      <c r="AY19" s="9"/>
      <c r="AZ19" s="4">
        <f t="shared" si="43"/>
        <v>70.144791636346397</v>
      </c>
      <c r="BA19" s="360">
        <f t="shared" si="33"/>
        <v>0.30844024957496646</v>
      </c>
      <c r="BB19" s="360">
        <f t="shared" si="44"/>
        <v>1.0040181533414121</v>
      </c>
      <c r="BC19" s="360">
        <f t="shared" si="45"/>
        <v>0.8771351377247687</v>
      </c>
      <c r="BD19" s="360">
        <f t="shared" si="46"/>
        <v>0.12423701561664333</v>
      </c>
      <c r="BE19" s="360">
        <f t="shared" si="47"/>
        <v>9.1522219924545772E-3</v>
      </c>
      <c r="BK19" s="18"/>
      <c r="BL19" s="19"/>
    </row>
    <row r="20" spans="1:65" x14ac:dyDescent="0.2">
      <c r="A20" s="35" t="s">
        <v>82</v>
      </c>
      <c r="B20" s="39">
        <f>Ltc*1000000</f>
        <v>4000</v>
      </c>
      <c r="C20" s="441" t="s">
        <v>81</v>
      </c>
      <c r="D20" s="21" t="s">
        <v>97</v>
      </c>
      <c r="G20">
        <v>11</v>
      </c>
      <c r="H20" s="548">
        <f t="shared" si="0"/>
        <v>21</v>
      </c>
      <c r="I20" s="4">
        <f t="shared" si="1"/>
        <v>1</v>
      </c>
      <c r="J20" s="360">
        <f t="shared" si="34"/>
        <v>0.88</v>
      </c>
      <c r="K20" s="4">
        <f t="shared" si="2"/>
        <v>0.23280423280423279</v>
      </c>
      <c r="L20" s="4"/>
      <c r="M20" s="360">
        <f t="shared" si="3"/>
        <v>0.23876353678902698</v>
      </c>
      <c r="N20" s="4">
        <f t="shared" si="4"/>
        <v>1.8176499571137219</v>
      </c>
      <c r="O20" s="4">
        <f t="shared" si="35"/>
        <v>1.7888249785568608</v>
      </c>
      <c r="P20" s="4">
        <f t="shared" si="36"/>
        <v>-2.8824978556860947E-2</v>
      </c>
      <c r="Q20" s="4">
        <f t="shared" si="5"/>
        <v>0.30135889761485574</v>
      </c>
      <c r="R20" s="4">
        <f t="shared" si="6"/>
        <v>1.0245589037318903</v>
      </c>
      <c r="S20" s="360">
        <f t="shared" si="7"/>
        <v>9.4474885249466352E-3</v>
      </c>
      <c r="T20" s="360">
        <f t="shared" si="8"/>
        <v>0.3</v>
      </c>
      <c r="U20" s="360">
        <f t="shared" si="9"/>
        <v>0.30968154555278643</v>
      </c>
      <c r="V20" s="4">
        <f t="shared" si="37"/>
        <v>0.52471034601605959</v>
      </c>
      <c r="W20" s="360">
        <f t="shared" si="10"/>
        <v>5.5064189443258598E-4</v>
      </c>
      <c r="X20" s="360">
        <f t="shared" si="38"/>
        <v>5.5064189443258598E-4</v>
      </c>
      <c r="Y20" s="4">
        <f t="shared" si="11"/>
        <v>0.4367980842704931</v>
      </c>
      <c r="Z20" s="360">
        <f t="shared" si="12"/>
        <v>1.907925664223728E-4</v>
      </c>
      <c r="AA20" s="541">
        <f t="shared" si="39"/>
        <v>1.907925664223728E-4</v>
      </c>
      <c r="AB20" s="360">
        <f t="shared" si="13"/>
        <v>0.50063468317615545</v>
      </c>
      <c r="AC20" s="360">
        <f t="shared" si="14"/>
        <v>1.5038105159933374E-3</v>
      </c>
      <c r="AD20" s="360">
        <f t="shared" si="15"/>
        <v>6.9800810126582277E-2</v>
      </c>
      <c r="AE20" s="360">
        <f t="shared" si="16"/>
        <v>0.63507936405941645</v>
      </c>
      <c r="AF20" s="360">
        <f t="shared" si="17"/>
        <v>5.9321805870019831E-4</v>
      </c>
      <c r="AG20" s="360">
        <f t="shared" si="18"/>
        <v>0.70713883998991656</v>
      </c>
      <c r="AH20" s="360">
        <f t="shared" si="19"/>
        <v>0.89391602581976526</v>
      </c>
      <c r="AI20" s="360">
        <f t="shared" si="20"/>
        <v>1.997714653043508E-3</v>
      </c>
      <c r="AJ20" s="360">
        <f t="shared" si="21"/>
        <v>3.6814018058700194E-2</v>
      </c>
      <c r="AK20" s="360">
        <f t="shared" si="22"/>
        <v>3.8827245863343407E-2</v>
      </c>
      <c r="AL20" s="360">
        <f t="shared" si="23"/>
        <v>3.6220799999999997E-2</v>
      </c>
      <c r="AM20" s="360">
        <f t="shared" si="24"/>
        <v>0.29105999999999999</v>
      </c>
      <c r="AN20" s="360">
        <f t="shared" si="25"/>
        <v>1.0497209472162929E-2</v>
      </c>
      <c r="AO20" s="360">
        <f t="shared" si="26"/>
        <v>7.3499999999999998E-4</v>
      </c>
      <c r="AP20" s="360">
        <f t="shared" si="27"/>
        <v>0.34650000000000003</v>
      </c>
      <c r="AQ20" s="360">
        <f t="shared" si="28"/>
        <v>1.3167</v>
      </c>
      <c r="AR20" s="360">
        <f t="shared" si="29"/>
        <v>1.1088</v>
      </c>
      <c r="AS20" s="360">
        <f t="shared" si="48"/>
        <v>0.34723500000000002</v>
      </c>
      <c r="AT20" s="360">
        <f t="shared" si="41"/>
        <v>1.741402075339064</v>
      </c>
      <c r="AU20">
        <f t="shared" si="30"/>
        <v>4.4000000000000004</v>
      </c>
      <c r="AV20" s="542">
        <f t="shared" si="42"/>
        <v>0.71644877603247925</v>
      </c>
      <c r="AW20" s="551">
        <f t="shared" si="31"/>
        <v>44.961921999495829</v>
      </c>
      <c r="AX20" s="551">
        <f t="shared" si="32"/>
        <v>5.1253277428070501</v>
      </c>
      <c r="AY20" s="9"/>
      <c r="AZ20" s="4">
        <f t="shared" si="43"/>
        <v>71.64487760324792</v>
      </c>
      <c r="BA20" s="360">
        <f t="shared" si="33"/>
        <v>0.30968154555278643</v>
      </c>
      <c r="BB20" s="360">
        <f t="shared" si="44"/>
        <v>1.0370260858532601</v>
      </c>
      <c r="BC20" s="360">
        <f t="shared" si="45"/>
        <v>0.89923843998991659</v>
      </c>
      <c r="BD20" s="360">
        <f t="shared" si="46"/>
        <v>0.13487704586334343</v>
      </c>
      <c r="BE20" s="360">
        <f t="shared" si="47"/>
        <v>1.0497209472162929E-2</v>
      </c>
      <c r="BK20" s="18"/>
      <c r="BL20" s="19"/>
    </row>
    <row r="21" spans="1:65" x14ac:dyDescent="0.2">
      <c r="A21" s="25" t="s">
        <v>129</v>
      </c>
      <c r="B21" s="39">
        <f>ThetaCa</f>
        <v>20</v>
      </c>
      <c r="C21" s="441" t="s">
        <v>205</v>
      </c>
      <c r="D21" s="26" t="s">
        <v>130</v>
      </c>
      <c r="G21">
        <v>12</v>
      </c>
      <c r="H21" s="548">
        <f t="shared" si="0"/>
        <v>21</v>
      </c>
      <c r="I21" s="4">
        <f t="shared" si="1"/>
        <v>1</v>
      </c>
      <c r="J21" s="360">
        <f t="shared" si="34"/>
        <v>0.96</v>
      </c>
      <c r="K21" s="4">
        <f t="shared" si="2"/>
        <v>0.25396825396825395</v>
      </c>
      <c r="L21" s="4"/>
      <c r="M21" s="360">
        <f t="shared" si="3"/>
        <v>0.23882427316835381</v>
      </c>
      <c r="N21" s="4">
        <f t="shared" si="4"/>
        <v>1.8179758576952556</v>
      </c>
      <c r="O21" s="4">
        <f t="shared" si="35"/>
        <v>1.8689879288476279</v>
      </c>
      <c r="P21" s="4">
        <f t="shared" si="36"/>
        <v>5.1012071152372163E-2</v>
      </c>
      <c r="Q21" s="4">
        <f t="shared" si="5"/>
        <v>0</v>
      </c>
      <c r="R21" s="4">
        <f t="shared" si="6"/>
        <v>1.0940839478441466</v>
      </c>
      <c r="S21" s="360">
        <f t="shared" si="7"/>
        <v>1.0773177164372101E-2</v>
      </c>
      <c r="T21" s="360">
        <f t="shared" si="8"/>
        <v>0.3</v>
      </c>
      <c r="U21" s="360">
        <f t="shared" si="9"/>
        <v>0.31104124936315741</v>
      </c>
      <c r="V21" s="4">
        <f t="shared" si="37"/>
        <v>0.52480442541029837</v>
      </c>
      <c r="W21" s="360">
        <f t="shared" si="10"/>
        <v>5.5083936986046692E-4</v>
      </c>
      <c r="X21" s="360">
        <f t="shared" si="38"/>
        <v>5.5083936986046692E-4</v>
      </c>
      <c r="Y21" s="4">
        <f t="shared" si="11"/>
        <v>0.46647926471253015</v>
      </c>
      <c r="Z21" s="360">
        <f t="shared" si="12"/>
        <v>2.1760290440674276E-4</v>
      </c>
      <c r="AA21" s="541">
        <f t="shared" si="39"/>
        <v>2.1760290440674276E-4</v>
      </c>
      <c r="AB21" s="360">
        <f t="shared" si="13"/>
        <v>0.53467500055797901</v>
      </c>
      <c r="AC21" s="360">
        <f t="shared" si="14"/>
        <v>1.7152641373300492E-3</v>
      </c>
      <c r="AD21" s="360">
        <f t="shared" si="15"/>
        <v>7.6146338319907941E-2</v>
      </c>
      <c r="AE21" s="360">
        <f t="shared" si="16"/>
        <v>0.63444464999999983</v>
      </c>
      <c r="AF21" s="360">
        <f t="shared" si="17"/>
        <v>0</v>
      </c>
      <c r="AG21" s="360">
        <f t="shared" si="18"/>
        <v>0.71249201348106417</v>
      </c>
      <c r="AH21" s="360">
        <f t="shared" si="19"/>
        <v>0.95453775656521755</v>
      </c>
      <c r="AI21" s="360">
        <f t="shared" si="20"/>
        <v>2.2778558217713962E-3</v>
      </c>
      <c r="AJ21" s="360">
        <f t="shared" si="21"/>
        <v>3.9513599999999996E-2</v>
      </c>
      <c r="AK21" s="360">
        <f t="shared" si="22"/>
        <v>4.1810503481524708E-2</v>
      </c>
      <c r="AL21" s="360">
        <f t="shared" si="23"/>
        <v>3.9513599999999996E-2</v>
      </c>
      <c r="AM21" s="360">
        <f t="shared" si="24"/>
        <v>0.31751999999999997</v>
      </c>
      <c r="AN21" s="360">
        <f t="shared" si="25"/>
        <v>1.1970196849302336E-2</v>
      </c>
      <c r="AO21" s="360">
        <f t="shared" si="26"/>
        <v>7.3499999999999998E-4</v>
      </c>
      <c r="AP21" s="360">
        <f t="shared" si="27"/>
        <v>0.34650000000000003</v>
      </c>
      <c r="AQ21" s="360">
        <f t="shared" si="28"/>
        <v>1.3167</v>
      </c>
      <c r="AR21" s="360">
        <f t="shared" si="29"/>
        <v>1.1088</v>
      </c>
      <c r="AS21" s="360">
        <f t="shared" si="48"/>
        <v>0.34723500000000002</v>
      </c>
      <c r="AT21" s="360">
        <f t="shared" si="41"/>
        <v>1.7823510054493159</v>
      </c>
      <c r="AU21">
        <f t="shared" si="30"/>
        <v>4.8</v>
      </c>
      <c r="AV21" s="542">
        <f t="shared" si="42"/>
        <v>0.72922273455581976</v>
      </c>
      <c r="AW21" s="551">
        <f t="shared" si="31"/>
        <v>46.102760674053208</v>
      </c>
      <c r="AX21" s="551">
        <f t="shared" si="32"/>
        <v>5.5704999322979383</v>
      </c>
      <c r="AY21" s="9"/>
      <c r="AZ21" s="4">
        <f t="shared" si="43"/>
        <v>72.922273455581973</v>
      </c>
      <c r="BA21" s="360">
        <f t="shared" si="33"/>
        <v>0.31104124936315741</v>
      </c>
      <c r="BB21" s="360">
        <f t="shared" si="44"/>
        <v>1.0718225169625888</v>
      </c>
      <c r="BC21" s="360">
        <f t="shared" si="45"/>
        <v>0.92205521348106412</v>
      </c>
      <c r="BD21" s="360">
        <f t="shared" si="46"/>
        <v>0.14659210348152468</v>
      </c>
      <c r="BE21" s="360">
        <f t="shared" si="47"/>
        <v>1.1970196849302336E-2</v>
      </c>
      <c r="BK21" s="18"/>
      <c r="BL21" s="19"/>
    </row>
    <row r="22" spans="1:65" x14ac:dyDescent="0.2">
      <c r="A22" s="36" t="s">
        <v>57</v>
      </c>
      <c r="B22" s="39">
        <f>Cin*1000000</f>
        <v>50</v>
      </c>
      <c r="C22" s="443" t="s">
        <v>467</v>
      </c>
      <c r="D22" s="440" t="s">
        <v>484</v>
      </c>
      <c r="G22">
        <v>13</v>
      </c>
      <c r="H22" s="548">
        <f t="shared" si="0"/>
        <v>21</v>
      </c>
      <c r="I22" s="4">
        <f t="shared" si="1"/>
        <v>1</v>
      </c>
      <c r="J22" s="360">
        <f t="shared" si="34"/>
        <v>1.04</v>
      </c>
      <c r="K22" s="4">
        <f t="shared" si="2"/>
        <v>0.27513227513227512</v>
      </c>
      <c r="L22" s="4"/>
      <c r="M22" s="360">
        <f t="shared" si="3"/>
        <v>0.23888500654075165</v>
      </c>
      <c r="N22" s="4">
        <f t="shared" si="4"/>
        <v>1.8183016659761859</v>
      </c>
      <c r="O22" s="4">
        <f t="shared" si="35"/>
        <v>1.9491508329880931</v>
      </c>
      <c r="P22" s="4">
        <f t="shared" si="36"/>
        <v>0.13084916701190707</v>
      </c>
      <c r="Q22" s="4">
        <f t="shared" si="5"/>
        <v>0</v>
      </c>
      <c r="R22" s="4">
        <f t="shared" si="6"/>
        <v>1.1649542533397244</v>
      </c>
      <c r="S22" s="360">
        <f t="shared" si="7"/>
        <v>1.2214065711368832E-2</v>
      </c>
      <c r="T22" s="360">
        <f t="shared" si="8"/>
        <v>0.3</v>
      </c>
      <c r="U22" s="360">
        <f t="shared" si="9"/>
        <v>0.31251943634589752</v>
      </c>
      <c r="V22" s="4">
        <f t="shared" si="37"/>
        <v>0.52489847815964796</v>
      </c>
      <c r="W22" s="360">
        <f t="shared" si="10"/>
        <v>5.5103682474862885E-4</v>
      </c>
      <c r="X22" s="360">
        <f t="shared" si="38"/>
        <v>5.5103682474862885E-4</v>
      </c>
      <c r="Y22" s="4">
        <f t="shared" si="11"/>
        <v>0.49673922594622583</v>
      </c>
      <c r="Z22" s="360">
        <f t="shared" si="12"/>
        <v>2.4674985859365558E-4</v>
      </c>
      <c r="AA22" s="541">
        <f t="shared" si="39"/>
        <v>2.4674985859365558E-4</v>
      </c>
      <c r="AB22" s="360">
        <f t="shared" si="13"/>
        <v>0.56938145457734457</v>
      </c>
      <c r="AC22" s="360">
        <f t="shared" si="14"/>
        <v>1.9451714448996764E-3</v>
      </c>
      <c r="AD22" s="360">
        <f t="shared" si="15"/>
        <v>8.2491866513233605E-2</v>
      </c>
      <c r="AE22" s="360">
        <f t="shared" si="16"/>
        <v>0.63444464999999983</v>
      </c>
      <c r="AF22" s="360">
        <f t="shared" si="17"/>
        <v>0</v>
      </c>
      <c r="AG22" s="360">
        <f t="shared" si="18"/>
        <v>0.71909429973623473</v>
      </c>
      <c r="AH22" s="360">
        <f t="shared" si="19"/>
        <v>1.0163282794243709</v>
      </c>
      <c r="AI22" s="360">
        <f t="shared" si="20"/>
        <v>2.5823079288942552E-3</v>
      </c>
      <c r="AJ22" s="360">
        <f t="shared" si="21"/>
        <v>4.2806399999999994E-2</v>
      </c>
      <c r="AK22" s="360">
        <f t="shared" si="22"/>
        <v>4.5412161565870204E-2</v>
      </c>
      <c r="AL22" s="360">
        <f t="shared" si="23"/>
        <v>4.2806399999999994E-2</v>
      </c>
      <c r="AM22" s="360">
        <f t="shared" si="24"/>
        <v>0.34398000000000006</v>
      </c>
      <c r="AN22" s="360">
        <f t="shared" si="25"/>
        <v>1.3571184123743148E-2</v>
      </c>
      <c r="AO22" s="360">
        <f t="shared" si="26"/>
        <v>7.3499999999999998E-4</v>
      </c>
      <c r="AP22" s="360">
        <f t="shared" si="27"/>
        <v>0.34650000000000003</v>
      </c>
      <c r="AQ22" s="360">
        <f t="shared" si="28"/>
        <v>1.3167</v>
      </c>
      <c r="AR22" s="360">
        <f t="shared" si="29"/>
        <v>1.1088</v>
      </c>
      <c r="AS22" s="360">
        <f t="shared" si="48"/>
        <v>0.34723500000000002</v>
      </c>
      <c r="AT22" s="360">
        <f t="shared" si="41"/>
        <v>1.8254162684550876</v>
      </c>
      <c r="AU22">
        <f t="shared" si="30"/>
        <v>5.2</v>
      </c>
      <c r="AV22" s="542">
        <f t="shared" si="42"/>
        <v>0.74016966415906027</v>
      </c>
      <c r="AW22" s="551">
        <f t="shared" si="31"/>
        <v>47.306054986811738</v>
      </c>
      <c r="AX22" s="551">
        <f t="shared" si="32"/>
        <v>6.0391713395030688</v>
      </c>
      <c r="AY22" s="9"/>
      <c r="AZ22" s="4">
        <f t="shared" si="43"/>
        <v>74.016966415906026</v>
      </c>
      <c r="BA22" s="360">
        <f t="shared" si="33"/>
        <v>0.31251943634589752</v>
      </c>
      <c r="BB22" s="360">
        <f t="shared" si="44"/>
        <v>1.108486461302105</v>
      </c>
      <c r="BC22" s="360">
        <f t="shared" si="45"/>
        <v>0.94612109973623482</v>
      </c>
      <c r="BD22" s="360">
        <f t="shared" si="46"/>
        <v>0.15892556156587023</v>
      </c>
      <c r="BE22" s="360">
        <f t="shared" si="47"/>
        <v>1.3571184123743148E-2</v>
      </c>
      <c r="BK22" s="18"/>
      <c r="BL22" s="19"/>
    </row>
    <row r="23" spans="1:65" x14ac:dyDescent="0.2">
      <c r="A23" s="36" t="s">
        <v>86</v>
      </c>
      <c r="B23" s="39">
        <f>RCinEsr*1000</f>
        <v>1</v>
      </c>
      <c r="C23" s="442" t="s">
        <v>466</v>
      </c>
      <c r="D23" s="440" t="s">
        <v>480</v>
      </c>
      <c r="G23">
        <v>14</v>
      </c>
      <c r="H23" s="548">
        <f t="shared" si="0"/>
        <v>21</v>
      </c>
      <c r="I23" s="4">
        <f t="shared" si="1"/>
        <v>1</v>
      </c>
      <c r="J23" s="360">
        <f t="shared" si="34"/>
        <v>1.1200000000000001</v>
      </c>
      <c r="K23" s="4">
        <f t="shared" si="2"/>
        <v>0.29629629629629628</v>
      </c>
      <c r="L23" s="4"/>
      <c r="M23" s="360">
        <f t="shared" si="3"/>
        <v>0.23894573690644383</v>
      </c>
      <c r="N23" s="4">
        <f t="shared" si="4"/>
        <v>1.818627381963368</v>
      </c>
      <c r="O23" s="4">
        <f t="shared" si="35"/>
        <v>2.029313690981684</v>
      </c>
      <c r="P23" s="4">
        <f t="shared" si="36"/>
        <v>0.21068630901831609</v>
      </c>
      <c r="Q23" s="4">
        <f t="shared" si="5"/>
        <v>0</v>
      </c>
      <c r="R23" s="4">
        <f t="shared" si="6"/>
        <v>1.2369386118702812</v>
      </c>
      <c r="S23" s="360">
        <f t="shared" si="7"/>
        <v>1.3770154165820203E-2</v>
      </c>
      <c r="T23" s="360">
        <f t="shared" si="8"/>
        <v>0.3</v>
      </c>
      <c r="U23" s="360">
        <f t="shared" si="9"/>
        <v>0.31411618843307648</v>
      </c>
      <c r="V23" s="4">
        <f t="shared" si="37"/>
        <v>0.52499250426608746</v>
      </c>
      <c r="W23" s="360">
        <f t="shared" si="10"/>
        <v>5.5123425907115575E-4</v>
      </c>
      <c r="X23" s="360">
        <f t="shared" si="38"/>
        <v>5.5123425907115575E-4</v>
      </c>
      <c r="Y23" s="4">
        <f t="shared" si="11"/>
        <v>0.52747951879688382</v>
      </c>
      <c r="Z23" s="360">
        <f t="shared" si="12"/>
        <v>2.7823464275019213E-4</v>
      </c>
      <c r="AA23" s="541">
        <f t="shared" si="39"/>
        <v>2.7823464275019213E-4</v>
      </c>
      <c r="AB23" s="360">
        <f t="shared" si="13"/>
        <v>0.60464127422494129</v>
      </c>
      <c r="AC23" s="360">
        <f t="shared" si="14"/>
        <v>2.193546422978164E-3</v>
      </c>
      <c r="AD23" s="360">
        <f t="shared" si="15"/>
        <v>8.8837394706559283E-2</v>
      </c>
      <c r="AE23" s="360">
        <f t="shared" si="16"/>
        <v>0.63444464999999983</v>
      </c>
      <c r="AF23" s="360">
        <f t="shared" si="17"/>
        <v>0</v>
      </c>
      <c r="AG23" s="360">
        <f t="shared" si="18"/>
        <v>0.72571755919325853</v>
      </c>
      <c r="AH23" s="360">
        <f t="shared" si="19"/>
        <v>1.0790857514763215</v>
      </c>
      <c r="AI23" s="360">
        <f t="shared" si="20"/>
        <v>2.9110651475980436E-3</v>
      </c>
      <c r="AJ23" s="360">
        <f t="shared" si="21"/>
        <v>4.60992E-2</v>
      </c>
      <c r="AK23" s="360">
        <f t="shared" si="22"/>
        <v>4.9038816185333366E-2</v>
      </c>
      <c r="AL23" s="360">
        <f t="shared" si="23"/>
        <v>4.60992E-2</v>
      </c>
      <c r="AM23" s="360">
        <f t="shared" si="24"/>
        <v>0.37044000000000005</v>
      </c>
      <c r="AN23" s="360">
        <f t="shared" si="25"/>
        <v>1.5300171295355783E-2</v>
      </c>
      <c r="AO23" s="360">
        <f t="shared" si="26"/>
        <v>7.3499999999999998E-4</v>
      </c>
      <c r="AP23" s="360">
        <f t="shared" si="27"/>
        <v>0.34650000000000003</v>
      </c>
      <c r="AQ23" s="360">
        <f t="shared" si="28"/>
        <v>1.3167</v>
      </c>
      <c r="AR23" s="360">
        <f t="shared" si="29"/>
        <v>1.1088</v>
      </c>
      <c r="AS23" s="360">
        <f t="shared" si="48"/>
        <v>0.34723500000000002</v>
      </c>
      <c r="AT23" s="360">
        <f t="shared" si="41"/>
        <v>1.8687764040088457</v>
      </c>
      <c r="AU23">
        <f t="shared" si="30"/>
        <v>5.6000000000000005</v>
      </c>
      <c r="AV23" s="542">
        <f t="shared" si="42"/>
        <v>0.74978814427945861</v>
      </c>
      <c r="AW23" s="551">
        <f t="shared" si="31"/>
        <v>48.510397959662932</v>
      </c>
      <c r="AX23" s="551">
        <f t="shared" si="32"/>
        <v>6.5087926150426689</v>
      </c>
      <c r="AY23" s="9"/>
      <c r="AZ23" s="4">
        <f t="shared" si="43"/>
        <v>74.978814427945863</v>
      </c>
      <c r="BA23" s="360">
        <f t="shared" si="33"/>
        <v>0.31411618843307648</v>
      </c>
      <c r="BB23" s="360">
        <f t="shared" si="44"/>
        <v>1.1451963753785919</v>
      </c>
      <c r="BC23" s="360">
        <f t="shared" si="45"/>
        <v>0.97020795919325864</v>
      </c>
      <c r="BD23" s="360">
        <f t="shared" si="46"/>
        <v>0.1712840161853334</v>
      </c>
      <c r="BE23" s="360">
        <f t="shared" si="47"/>
        <v>1.5300171295355783E-2</v>
      </c>
      <c r="BK23" s="18"/>
      <c r="BL23" s="19"/>
    </row>
    <row r="24" spans="1:65" x14ac:dyDescent="0.2">
      <c r="A24" s="35" t="s">
        <v>25</v>
      </c>
      <c r="B24" s="39">
        <f>Cout2*1000000</f>
        <v>4.7</v>
      </c>
      <c r="C24" s="441" t="s">
        <v>467</v>
      </c>
      <c r="D24" s="440" t="s">
        <v>483</v>
      </c>
      <c r="G24">
        <v>15</v>
      </c>
      <c r="H24" s="548">
        <f t="shared" si="0"/>
        <v>21</v>
      </c>
      <c r="I24" s="4">
        <f t="shared" si="1"/>
        <v>1</v>
      </c>
      <c r="J24" s="360">
        <f t="shared" si="34"/>
        <v>1.2</v>
      </c>
      <c r="K24" s="4">
        <f t="shared" si="2"/>
        <v>0.31746031746031744</v>
      </c>
      <c r="L24" s="4"/>
      <c r="M24" s="360">
        <f t="shared" si="3"/>
        <v>0.23900646426565372</v>
      </c>
      <c r="N24" s="4">
        <f t="shared" si="4"/>
        <v>1.8189530056636558</v>
      </c>
      <c r="O24" s="4">
        <f t="shared" si="35"/>
        <v>2.1094765028318276</v>
      </c>
      <c r="P24" s="4">
        <f t="shared" si="36"/>
        <v>0.29052349716817205</v>
      </c>
      <c r="Q24" s="4">
        <f t="shared" si="5"/>
        <v>0</v>
      </c>
      <c r="R24" s="4">
        <f t="shared" si="6"/>
        <v>1.3098533644653017</v>
      </c>
      <c r="S24" s="360">
        <f t="shared" si="7"/>
        <v>1.5441442527609631E-2</v>
      </c>
      <c r="T24" s="360">
        <f t="shared" si="8"/>
        <v>0.3</v>
      </c>
      <c r="U24" s="360">
        <f t="shared" si="9"/>
        <v>0.31583159416038009</v>
      </c>
      <c r="V24" s="4">
        <f t="shared" si="37"/>
        <v>0.52508650373159527</v>
      </c>
      <c r="W24" s="360">
        <f t="shared" si="10"/>
        <v>5.5143167280214127E-4</v>
      </c>
      <c r="X24" s="360">
        <f t="shared" si="38"/>
        <v>5.5143167280214127E-4</v>
      </c>
      <c r="Y24" s="4">
        <f t="shared" si="11"/>
        <v>0.55862193830632678</v>
      </c>
      <c r="Z24" s="360">
        <f t="shared" si="12"/>
        <v>3.1205846995711759E-4</v>
      </c>
      <c r="AA24" s="541">
        <f t="shared" si="39"/>
        <v>3.1205846995711759E-4</v>
      </c>
      <c r="AB24" s="360">
        <f t="shared" si="13"/>
        <v>0.64036487703715339</v>
      </c>
      <c r="AC24" s="360">
        <f t="shared" si="14"/>
        <v>2.4604030544568517E-3</v>
      </c>
      <c r="AD24" s="360">
        <f t="shared" si="15"/>
        <v>9.518292289988492E-2</v>
      </c>
      <c r="AE24" s="360">
        <f t="shared" si="16"/>
        <v>0.63444464999999983</v>
      </c>
      <c r="AF24" s="360">
        <f t="shared" si="17"/>
        <v>0</v>
      </c>
      <c r="AG24" s="360">
        <f t="shared" si="18"/>
        <v>0.73236186557073635</v>
      </c>
      <c r="AH24" s="360">
        <f t="shared" si="19"/>
        <v>1.1426498416655304</v>
      </c>
      <c r="AI24" s="360">
        <f t="shared" si="20"/>
        <v>3.2641216516456546E-3</v>
      </c>
      <c r="AJ24" s="360">
        <f t="shared" si="21"/>
        <v>4.9391999999999991E-2</v>
      </c>
      <c r="AK24" s="360">
        <f t="shared" si="22"/>
        <v>5.2690519304625379E-2</v>
      </c>
      <c r="AL24" s="360">
        <f t="shared" si="23"/>
        <v>4.9391999999999991E-2</v>
      </c>
      <c r="AM24" s="360">
        <f t="shared" si="24"/>
        <v>0.39690000000000003</v>
      </c>
      <c r="AN24" s="360">
        <f t="shared" si="25"/>
        <v>1.7157158364010702E-2</v>
      </c>
      <c r="AO24" s="360">
        <f t="shared" si="26"/>
        <v>7.3499999999999998E-4</v>
      </c>
      <c r="AP24" s="360">
        <f t="shared" si="27"/>
        <v>0.34650000000000003</v>
      </c>
      <c r="AQ24" s="360">
        <f t="shared" si="28"/>
        <v>1.3167</v>
      </c>
      <c r="AR24" s="360">
        <f t="shared" si="29"/>
        <v>1.1088</v>
      </c>
      <c r="AS24" s="360">
        <f t="shared" si="48"/>
        <v>0.34723500000000002</v>
      </c>
      <c r="AT24" s="360">
        <f t="shared" si="41"/>
        <v>1.9124316275425117</v>
      </c>
      <c r="AU24">
        <f t="shared" si="30"/>
        <v>6</v>
      </c>
      <c r="AV24" s="542">
        <f t="shared" si="42"/>
        <v>0.75830039138847061</v>
      </c>
      <c r="AW24" s="551">
        <f t="shared" si="31"/>
        <v>49.715793278536822</v>
      </c>
      <c r="AX24" s="551">
        <f t="shared" si="32"/>
        <v>6.9793657335757642</v>
      </c>
      <c r="AY24" s="9"/>
      <c r="AZ24" s="4">
        <f t="shared" si="43"/>
        <v>75.830039138847056</v>
      </c>
      <c r="BA24" s="360">
        <f t="shared" si="33"/>
        <v>0.31583159416038009</v>
      </c>
      <c r="BB24" s="360">
        <f t="shared" si="44"/>
        <v>1.1819523848753617</v>
      </c>
      <c r="BC24" s="360">
        <f t="shared" si="45"/>
        <v>0.99431586557073637</v>
      </c>
      <c r="BD24" s="360">
        <f t="shared" si="46"/>
        <v>0.18366751930462538</v>
      </c>
      <c r="BE24" s="360">
        <f t="shared" si="47"/>
        <v>1.7157158364010702E-2</v>
      </c>
      <c r="BK24" s="18"/>
      <c r="BL24" s="19"/>
    </row>
    <row r="25" spans="1:65" x14ac:dyDescent="0.2">
      <c r="A25" s="35" t="s">
        <v>85</v>
      </c>
      <c r="B25" s="40">
        <f>Cout2_ESR*1000</f>
        <v>2</v>
      </c>
      <c r="C25" s="442" t="s">
        <v>466</v>
      </c>
      <c r="D25" s="440" t="s">
        <v>482</v>
      </c>
      <c r="G25">
        <v>16</v>
      </c>
      <c r="H25" s="548">
        <f t="shared" si="0"/>
        <v>21</v>
      </c>
      <c r="I25" s="4">
        <f t="shared" si="1"/>
        <v>1</v>
      </c>
      <c r="J25" s="360">
        <f t="shared" si="34"/>
        <v>1.28</v>
      </c>
      <c r="K25" s="4">
        <f t="shared" si="2"/>
        <v>0.33862433862433861</v>
      </c>
      <c r="L25" s="4"/>
      <c r="M25" s="360">
        <f t="shared" si="3"/>
        <v>0.23906718861860443</v>
      </c>
      <c r="N25" s="4">
        <f t="shared" si="4"/>
        <v>1.8192785370839015</v>
      </c>
      <c r="O25" s="4">
        <f t="shared" si="35"/>
        <v>2.189639268541951</v>
      </c>
      <c r="P25" s="4">
        <f t="shared" si="36"/>
        <v>0.37036073145804926</v>
      </c>
      <c r="Q25" s="4">
        <f t="shared" si="5"/>
        <v>0</v>
      </c>
      <c r="R25" s="4">
        <f t="shared" si="6"/>
        <v>1.3835514204242085</v>
      </c>
      <c r="S25" s="360">
        <f t="shared" si="7"/>
        <v>1.7227930796620605E-2</v>
      </c>
      <c r="T25" s="360">
        <f t="shared" si="8"/>
        <v>0.3</v>
      </c>
      <c r="U25" s="360">
        <f t="shared" si="9"/>
        <v>0.31766574867939701</v>
      </c>
      <c r="V25" s="4">
        <f t="shared" si="37"/>
        <v>0.52518047655814959</v>
      </c>
      <c r="W25" s="360">
        <f t="shared" si="10"/>
        <v>5.5162906591569032E-4</v>
      </c>
      <c r="X25" s="360">
        <f t="shared" si="38"/>
        <v>5.5162906591569032E-4</v>
      </c>
      <c r="Y25" s="4">
        <f t="shared" si="11"/>
        <v>0.59010384900374624</v>
      </c>
      <c r="Z25" s="360">
        <f t="shared" si="12"/>
        <v>3.4822255260903614E-4</v>
      </c>
      <c r="AA25" s="541">
        <f t="shared" si="39"/>
        <v>3.4822255260903614E-4</v>
      </c>
      <c r="AB25" s="360">
        <f t="shared" si="13"/>
        <v>0.67648051472833048</v>
      </c>
      <c r="AC25" s="360">
        <f t="shared" si="14"/>
        <v>2.7457553208426418E-3</v>
      </c>
      <c r="AD25" s="360">
        <f t="shared" si="15"/>
        <v>0.10152845109321058</v>
      </c>
      <c r="AE25" s="360">
        <f t="shared" si="16"/>
        <v>0.63444464999999983</v>
      </c>
      <c r="AF25" s="360">
        <f t="shared" si="17"/>
        <v>0</v>
      </c>
      <c r="AG25" s="360">
        <f t="shared" si="18"/>
        <v>0.73902729300860104</v>
      </c>
      <c r="AH25" s="360">
        <f t="shared" si="19"/>
        <v>1.2068921435450386</v>
      </c>
      <c r="AI25" s="360">
        <f t="shared" si="20"/>
        <v>3.6414716153768453E-3</v>
      </c>
      <c r="AJ25" s="360">
        <f t="shared" si="21"/>
        <v>5.2684799999999997E-2</v>
      </c>
      <c r="AK25" s="360">
        <f t="shared" si="22"/>
        <v>5.6367323617174184E-2</v>
      </c>
      <c r="AL25" s="360">
        <f t="shared" si="23"/>
        <v>5.2684799999999997E-2</v>
      </c>
      <c r="AM25" s="360">
        <f t="shared" si="24"/>
        <v>0.42336000000000001</v>
      </c>
      <c r="AN25" s="360">
        <f t="shared" si="25"/>
        <v>1.9142145329578451E-2</v>
      </c>
      <c r="AO25" s="360">
        <f t="shared" si="26"/>
        <v>7.3499999999999998E-4</v>
      </c>
      <c r="AP25" s="360">
        <f t="shared" si="27"/>
        <v>0.34650000000000003</v>
      </c>
      <c r="AQ25" s="360">
        <f t="shared" si="28"/>
        <v>1.3167</v>
      </c>
      <c r="AR25" s="360">
        <f t="shared" si="29"/>
        <v>1.1088</v>
      </c>
      <c r="AS25" s="360">
        <f t="shared" si="48"/>
        <v>0.34723500000000002</v>
      </c>
      <c r="AT25" s="360">
        <f t="shared" si="41"/>
        <v>1.9563821622532753</v>
      </c>
      <c r="AU25">
        <f t="shared" si="30"/>
        <v>6.4</v>
      </c>
      <c r="AV25" s="542">
        <f t="shared" si="42"/>
        <v>0.76588167890519954</v>
      </c>
      <c r="AW25" s="551">
        <f t="shared" si="31"/>
        <v>50.922244650430045</v>
      </c>
      <c r="AX25" s="551">
        <f t="shared" si="32"/>
        <v>7.4508926974526197</v>
      </c>
      <c r="AY25" s="9"/>
      <c r="AZ25" s="4">
        <f t="shared" si="43"/>
        <v>76.588167890519955</v>
      </c>
      <c r="BA25" s="360">
        <f t="shared" si="33"/>
        <v>0.31766574867939701</v>
      </c>
      <c r="BB25" s="360">
        <f t="shared" si="44"/>
        <v>1.2187546166257752</v>
      </c>
      <c r="BC25" s="360">
        <f t="shared" si="45"/>
        <v>1.018444893008601</v>
      </c>
      <c r="BD25" s="360">
        <f t="shared" si="46"/>
        <v>0.19607612361717419</v>
      </c>
      <c r="BE25" s="360">
        <f t="shared" si="47"/>
        <v>1.9142145329578451E-2</v>
      </c>
    </row>
    <row r="26" spans="1:65" x14ac:dyDescent="0.2">
      <c r="A26" s="24" t="s">
        <v>112</v>
      </c>
      <c r="B26" s="37" t="s">
        <v>111</v>
      </c>
      <c r="C26" s="24" t="s">
        <v>76</v>
      </c>
      <c r="D26" s="17" t="s">
        <v>107</v>
      </c>
      <c r="G26">
        <v>17</v>
      </c>
      <c r="H26" s="548">
        <f t="shared" si="0"/>
        <v>21</v>
      </c>
      <c r="I26" s="4">
        <f t="shared" si="1"/>
        <v>1</v>
      </c>
      <c r="J26" s="360">
        <f t="shared" si="34"/>
        <v>1.36</v>
      </c>
      <c r="K26" s="4">
        <f t="shared" si="2"/>
        <v>0.35978835978835977</v>
      </c>
      <c r="L26" s="4"/>
      <c r="M26" s="360">
        <f t="shared" si="3"/>
        <v>0.23912790996551928</v>
      </c>
      <c r="N26" s="4">
        <f t="shared" si="4"/>
        <v>1.8196039762309582</v>
      </c>
      <c r="O26" s="4">
        <f t="shared" si="35"/>
        <v>2.2698019881154794</v>
      </c>
      <c r="P26" s="4">
        <f t="shared" si="36"/>
        <v>0.45019801188452102</v>
      </c>
      <c r="Q26" s="4">
        <f t="shared" si="5"/>
        <v>0</v>
      </c>
      <c r="R26" s="4">
        <f t="shared" si="6"/>
        <v>1.4579139958148972</v>
      </c>
      <c r="S26" s="360">
        <f t="shared" si="7"/>
        <v>1.9129618972736639E-2</v>
      </c>
      <c r="T26" s="360">
        <f t="shared" si="8"/>
        <v>0.3</v>
      </c>
      <c r="U26" s="360">
        <f t="shared" si="9"/>
        <v>0.31961875377083077</v>
      </c>
      <c r="V26" s="4">
        <f t="shared" si="37"/>
        <v>0.52527442274772862</v>
      </c>
      <c r="W26" s="360">
        <f t="shared" si="10"/>
        <v>5.5182643838591909E-4</v>
      </c>
      <c r="X26" s="360">
        <f t="shared" si="38"/>
        <v>5.5182643838591909E-4</v>
      </c>
      <c r="Y26" s="4">
        <f t="shared" si="11"/>
        <v>0.62187466777040112</v>
      </c>
      <c r="Z26" s="360">
        <f t="shared" si="12"/>
        <v>3.8672810241454676E-4</v>
      </c>
      <c r="AA26" s="541">
        <f t="shared" si="39"/>
        <v>3.8672810241454676E-4</v>
      </c>
      <c r="AB26" s="360">
        <f t="shared" si="13"/>
        <v>0.71293024463105448</v>
      </c>
      <c r="AC26" s="360">
        <f t="shared" si="14"/>
        <v>3.0496172022581713E-3</v>
      </c>
      <c r="AD26" s="360">
        <f t="shared" si="15"/>
        <v>0.10787397928653626</v>
      </c>
      <c r="AE26" s="360">
        <f t="shared" si="16"/>
        <v>0.63444464999999983</v>
      </c>
      <c r="AF26" s="360">
        <f t="shared" si="17"/>
        <v>0</v>
      </c>
      <c r="AG26" s="360">
        <f t="shared" si="18"/>
        <v>0.74571391607072901</v>
      </c>
      <c r="AH26" s="360">
        <f t="shared" si="19"/>
        <v>1.2717089625709432</v>
      </c>
      <c r="AI26" s="360">
        <f t="shared" si="20"/>
        <v>4.0431092137081619E-3</v>
      </c>
      <c r="AJ26" s="360">
        <f t="shared" si="21"/>
        <v>5.5977599999999995E-2</v>
      </c>
      <c r="AK26" s="360">
        <f t="shared" si="22"/>
        <v>6.0069282547654007E-2</v>
      </c>
      <c r="AL26" s="360">
        <f t="shared" si="23"/>
        <v>5.5977599999999995E-2</v>
      </c>
      <c r="AM26" s="360">
        <f t="shared" si="24"/>
        <v>0.44982000000000005</v>
      </c>
      <c r="AN26" s="360">
        <f t="shared" si="25"/>
        <v>2.12551321919296E-2</v>
      </c>
      <c r="AO26" s="360">
        <f t="shared" si="26"/>
        <v>7.3499999999999998E-4</v>
      </c>
      <c r="AP26" s="360">
        <f t="shared" si="27"/>
        <v>0.34650000000000003</v>
      </c>
      <c r="AQ26" s="360">
        <f t="shared" si="28"/>
        <v>1.3167</v>
      </c>
      <c r="AR26" s="360">
        <f t="shared" si="29"/>
        <v>1.1088</v>
      </c>
      <c r="AS26" s="360">
        <f t="shared" si="48"/>
        <v>0.34723500000000002</v>
      </c>
      <c r="AT26" s="360">
        <f t="shared" si="41"/>
        <v>2.0006282391219439</v>
      </c>
      <c r="AU26">
        <f t="shared" si="30"/>
        <v>6.8000000000000007</v>
      </c>
      <c r="AV26" s="542">
        <f t="shared" si="42"/>
        <v>0.77267211103993294</v>
      </c>
      <c r="AW26" s="551">
        <f t="shared" si="31"/>
        <v>52.129755803536447</v>
      </c>
      <c r="AX26" s="551">
        <f t="shared" si="32"/>
        <v>7.9233755368108536</v>
      </c>
      <c r="AY26" s="9"/>
      <c r="AZ26" s="4">
        <f t="shared" si="43"/>
        <v>77.26721110399329</v>
      </c>
      <c r="BA26" s="360">
        <f t="shared" si="33"/>
        <v>0.31961875377083077</v>
      </c>
      <c r="BB26" s="360">
        <f t="shared" si="44"/>
        <v>1.2556031986183831</v>
      </c>
      <c r="BC26" s="360">
        <f t="shared" si="45"/>
        <v>1.042595116070729</v>
      </c>
      <c r="BD26" s="360">
        <f t="shared" si="46"/>
        <v>0.20850988254765404</v>
      </c>
      <c r="BE26" s="360">
        <f t="shared" si="47"/>
        <v>2.12551321919296E-2</v>
      </c>
    </row>
    <row r="27" spans="1:65" x14ac:dyDescent="0.2">
      <c r="A27" s="22" t="s">
        <v>61</v>
      </c>
      <c r="B27" s="5">
        <f>RdsonDRT</f>
        <v>1</v>
      </c>
      <c r="C27" s="444" t="s">
        <v>116</v>
      </c>
      <c r="D27" s="440" t="s">
        <v>507</v>
      </c>
      <c r="G27">
        <v>18</v>
      </c>
      <c r="H27" s="548">
        <f t="shared" si="0"/>
        <v>21</v>
      </c>
      <c r="I27" s="4">
        <f t="shared" si="1"/>
        <v>1</v>
      </c>
      <c r="J27" s="360">
        <f t="shared" si="34"/>
        <v>1.44</v>
      </c>
      <c r="K27" s="4">
        <f t="shared" si="2"/>
        <v>0.38095238095238088</v>
      </c>
      <c r="L27" s="4"/>
      <c r="M27" s="360">
        <f t="shared" si="3"/>
        <v>0.23918862830662141</v>
      </c>
      <c r="N27" s="4">
        <f t="shared" si="4"/>
        <v>1.819929323111676</v>
      </c>
      <c r="O27" s="4">
        <f t="shared" si="35"/>
        <v>2.3499646615558381</v>
      </c>
      <c r="P27" s="4">
        <f t="shared" si="36"/>
        <v>0.53003533844416195</v>
      </c>
      <c r="Q27" s="4">
        <f t="shared" si="5"/>
        <v>0</v>
      </c>
      <c r="R27" s="4">
        <f t="shared" si="6"/>
        <v>1.5328443805858039</v>
      </c>
      <c r="S27" s="360">
        <f t="shared" si="7"/>
        <v>2.1146507055841288E-2</v>
      </c>
      <c r="T27" s="360">
        <f t="shared" si="8"/>
        <v>0.3</v>
      </c>
      <c r="U27" s="360">
        <f t="shared" si="9"/>
        <v>0.32169071785864101</v>
      </c>
      <c r="V27" s="4">
        <f t="shared" si="37"/>
        <v>0.52536834230230978</v>
      </c>
      <c r="W27" s="360">
        <f t="shared" si="10"/>
        <v>5.5202379018695397E-4</v>
      </c>
      <c r="X27" s="360">
        <f t="shared" si="38"/>
        <v>5.5202379018695397E-4</v>
      </c>
      <c r="Y27" s="4">
        <f t="shared" si="11"/>
        <v>0.65389321023879454</v>
      </c>
      <c r="Z27" s="360">
        <f t="shared" si="12"/>
        <v>4.2757633039639637E-4</v>
      </c>
      <c r="AA27" s="541">
        <f t="shared" si="39"/>
        <v>4.2757633039639637E-4</v>
      </c>
      <c r="AB27" s="360">
        <f t="shared" si="13"/>
        <v>0.74966689018545429</v>
      </c>
      <c r="AC27" s="360">
        <f t="shared" si="14"/>
        <v>3.3720026774419799E-3</v>
      </c>
      <c r="AD27" s="360">
        <f t="shared" si="15"/>
        <v>0.11421950747986191</v>
      </c>
      <c r="AE27" s="360">
        <f t="shared" si="16"/>
        <v>0.63444464999999983</v>
      </c>
      <c r="AF27" s="360">
        <f t="shared" si="17"/>
        <v>0</v>
      </c>
      <c r="AG27" s="360">
        <f t="shared" si="18"/>
        <v>0.75242180974757289</v>
      </c>
      <c r="AH27" s="360">
        <f t="shared" si="19"/>
        <v>1.3370158745703609</v>
      </c>
      <c r="AI27" s="360">
        <f t="shared" si="20"/>
        <v>4.4690286221328677E-3</v>
      </c>
      <c r="AJ27" s="360">
        <f t="shared" si="21"/>
        <v>5.9270399999999994E-2</v>
      </c>
      <c r="AK27" s="360">
        <f t="shared" si="22"/>
        <v>6.3796450254568482E-2</v>
      </c>
      <c r="AL27" s="360">
        <f t="shared" si="23"/>
        <v>5.9270399999999994E-2</v>
      </c>
      <c r="AM27" s="360">
        <f t="shared" si="24"/>
        <v>0.47627999999999998</v>
      </c>
      <c r="AN27" s="360">
        <f t="shared" si="25"/>
        <v>2.3496118950934765E-2</v>
      </c>
      <c r="AO27" s="360">
        <f t="shared" si="26"/>
        <v>7.3499999999999998E-4</v>
      </c>
      <c r="AP27" s="360">
        <f t="shared" si="27"/>
        <v>0.34650000000000003</v>
      </c>
      <c r="AQ27" s="360">
        <f t="shared" si="28"/>
        <v>1.3167</v>
      </c>
      <c r="AR27" s="360">
        <f t="shared" si="29"/>
        <v>1.1088</v>
      </c>
      <c r="AS27" s="360">
        <f t="shared" si="48"/>
        <v>0.34723500000000002</v>
      </c>
      <c r="AT27" s="360">
        <f t="shared" si="41"/>
        <v>2.0451700969323006</v>
      </c>
      <c r="AU27">
        <f t="shared" si="30"/>
        <v>7.1999999999999993</v>
      </c>
      <c r="AV27" s="542">
        <f t="shared" si="42"/>
        <v>0.77878502228845714</v>
      </c>
      <c r="AW27" s="551">
        <f t="shared" si="31"/>
        <v>53.338330487378641</v>
      </c>
      <c r="AX27" s="551">
        <f t="shared" si="32"/>
        <v>8.3968163096736017</v>
      </c>
      <c r="AY27" s="9"/>
      <c r="AZ27" s="4">
        <f t="shared" si="43"/>
        <v>77.878502228845718</v>
      </c>
      <c r="BA27" s="360">
        <f t="shared" si="33"/>
        <v>0.32169071785864101</v>
      </c>
      <c r="BB27" s="360">
        <f t="shared" si="44"/>
        <v>1.2924982600021413</v>
      </c>
      <c r="BC27" s="360">
        <f t="shared" si="45"/>
        <v>1.0667666097475728</v>
      </c>
      <c r="BD27" s="360">
        <f t="shared" si="46"/>
        <v>0.22096885025456847</v>
      </c>
      <c r="BE27" s="360">
        <f t="shared" si="47"/>
        <v>2.3496118950934765E-2</v>
      </c>
    </row>
    <row r="28" spans="1:65" x14ac:dyDescent="0.2">
      <c r="A28" s="22" t="s">
        <v>126</v>
      </c>
      <c r="B28" s="5">
        <f>RdsonDRT2</f>
        <v>0.5</v>
      </c>
      <c r="C28" s="444" t="s">
        <v>116</v>
      </c>
      <c r="D28" s="440" t="s">
        <v>506</v>
      </c>
      <c r="G28">
        <v>19</v>
      </c>
      <c r="H28" s="548">
        <f t="shared" si="0"/>
        <v>21</v>
      </c>
      <c r="I28" s="4">
        <f t="shared" si="1"/>
        <v>1</v>
      </c>
      <c r="J28" s="360">
        <f t="shared" si="34"/>
        <v>1.52</v>
      </c>
      <c r="K28" s="4">
        <f t="shared" si="2"/>
        <v>0.40211640211640204</v>
      </c>
      <c r="L28" s="4"/>
      <c r="M28" s="360">
        <f t="shared" si="3"/>
        <v>0.2392493436421341</v>
      </c>
      <c r="N28" s="4">
        <f t="shared" si="4"/>
        <v>1.8202545777329071</v>
      </c>
      <c r="O28" s="4">
        <f t="shared" si="35"/>
        <v>2.4301272888664536</v>
      </c>
      <c r="P28" s="4">
        <f t="shared" si="36"/>
        <v>0.60987271113354646</v>
      </c>
      <c r="Q28" s="4">
        <f t="shared" si="5"/>
        <v>0</v>
      </c>
      <c r="R28" s="4">
        <f t="shared" si="6"/>
        <v>1.6082632124893199</v>
      </c>
      <c r="S28" s="360">
        <f t="shared" si="7"/>
        <v>2.3278595045818206E-2</v>
      </c>
      <c r="T28" s="360">
        <f t="shared" si="8"/>
        <v>0.3</v>
      </c>
      <c r="U28" s="360">
        <f t="shared" si="9"/>
        <v>0.32388175602511715</v>
      </c>
      <c r="V28" s="4">
        <f t="shared" si="37"/>
        <v>0.52546223522387125</v>
      </c>
      <c r="W28" s="360">
        <f t="shared" si="10"/>
        <v>5.5222112129293401E-4</v>
      </c>
      <c r="X28" s="360">
        <f t="shared" si="38"/>
        <v>5.5222112129293401E-4</v>
      </c>
      <c r="Y28" s="4">
        <f t="shared" si="11"/>
        <v>0.68612567864177565</v>
      </c>
      <c r="Z28" s="360">
        <f t="shared" si="12"/>
        <v>4.7076844689163724E-4</v>
      </c>
      <c r="AA28" s="541">
        <f t="shared" si="39"/>
        <v>4.7076844689163724E-4</v>
      </c>
      <c r="AB28" s="360">
        <f t="shared" si="13"/>
        <v>0.7866517361311266</v>
      </c>
      <c r="AC28" s="360">
        <f t="shared" si="14"/>
        <v>3.712925723748694E-3</v>
      </c>
      <c r="AD28" s="360">
        <f t="shared" si="15"/>
        <v>0.12056503567318758</v>
      </c>
      <c r="AE28" s="360">
        <f t="shared" si="16"/>
        <v>0.63444464999999983</v>
      </c>
      <c r="AF28" s="360">
        <f t="shared" si="17"/>
        <v>0</v>
      </c>
      <c r="AG28" s="360">
        <f t="shared" si="18"/>
        <v>0.75915104945881751</v>
      </c>
      <c r="AH28" s="360">
        <f t="shared" si="19"/>
        <v>1.4027435997673814</v>
      </c>
      <c r="AI28" s="360">
        <f t="shared" si="20"/>
        <v>4.9192240167208788E-3</v>
      </c>
      <c r="AJ28" s="360">
        <f t="shared" si="21"/>
        <v>6.2563199999999999E-2</v>
      </c>
      <c r="AK28" s="360">
        <f t="shared" si="22"/>
        <v>6.7548881632887095E-2</v>
      </c>
      <c r="AL28" s="360">
        <f t="shared" si="23"/>
        <v>6.2563199999999999E-2</v>
      </c>
      <c r="AM28" s="360">
        <f t="shared" si="24"/>
        <v>0.50273999999999996</v>
      </c>
      <c r="AN28" s="360">
        <f t="shared" si="25"/>
        <v>2.5865105606464676E-2</v>
      </c>
      <c r="AO28" s="360">
        <f t="shared" si="26"/>
        <v>7.3499999999999998E-4</v>
      </c>
      <c r="AP28" s="360">
        <f t="shared" si="27"/>
        <v>0.34650000000000003</v>
      </c>
      <c r="AQ28" s="360">
        <f t="shared" si="28"/>
        <v>1.3167</v>
      </c>
      <c r="AR28" s="360">
        <f t="shared" si="29"/>
        <v>1.1088</v>
      </c>
      <c r="AS28" s="360">
        <f t="shared" si="48"/>
        <v>0.34723500000000002</v>
      </c>
      <c r="AT28" s="360">
        <f t="shared" si="41"/>
        <v>2.0900079822914708</v>
      </c>
      <c r="AU28">
        <f t="shared" si="30"/>
        <v>7.6</v>
      </c>
      <c r="AV28" s="542">
        <f t="shared" si="42"/>
        <v>0.78431307939983441</v>
      </c>
      <c r="AW28" s="551">
        <f t="shared" si="31"/>
        <v>54.547972472940877</v>
      </c>
      <c r="AX28" s="551">
        <f t="shared" si="32"/>
        <v>8.8712171020497088</v>
      </c>
      <c r="AY28" s="9"/>
      <c r="AZ28" s="4">
        <f t="shared" si="43"/>
        <v>78.431307939983441</v>
      </c>
      <c r="BA28" s="360">
        <f t="shared" si="33"/>
        <v>0.32388175602511715</v>
      </c>
      <c r="BB28" s="360">
        <f t="shared" si="44"/>
        <v>1.3294399310917044</v>
      </c>
      <c r="BC28" s="360">
        <f t="shared" si="45"/>
        <v>1.0909594494588175</v>
      </c>
      <c r="BD28" s="360">
        <f t="shared" si="46"/>
        <v>0.23345308163288708</v>
      </c>
      <c r="BE28" s="360">
        <f t="shared" si="47"/>
        <v>2.5865105606464676E-2</v>
      </c>
    </row>
    <row r="29" spans="1:65" x14ac:dyDescent="0.2">
      <c r="A29" s="24" t="s">
        <v>113</v>
      </c>
      <c r="B29" s="15" t="s">
        <v>111</v>
      </c>
      <c r="C29" s="24" t="s">
        <v>76</v>
      </c>
      <c r="D29" s="17" t="s">
        <v>107</v>
      </c>
      <c r="G29">
        <v>20</v>
      </c>
      <c r="H29" s="548">
        <f t="shared" si="0"/>
        <v>21</v>
      </c>
      <c r="I29" s="4">
        <f t="shared" si="1"/>
        <v>1</v>
      </c>
      <c r="J29" s="360">
        <f t="shared" si="34"/>
        <v>1.6</v>
      </c>
      <c r="K29" s="4">
        <f t="shared" si="2"/>
        <v>0.42328042328042326</v>
      </c>
      <c r="L29" s="4"/>
      <c r="M29" s="360">
        <f t="shared" si="3"/>
        <v>0.23931005597228036</v>
      </c>
      <c r="N29" s="4">
        <f t="shared" si="4"/>
        <v>1.8205797401015003</v>
      </c>
      <c r="O29" s="4">
        <f t="shared" si="35"/>
        <v>2.5102898700507503</v>
      </c>
      <c r="P29" s="4">
        <f t="shared" si="36"/>
        <v>0.68971012994924996</v>
      </c>
      <c r="Q29" s="4">
        <f t="shared" si="5"/>
        <v>0</v>
      </c>
      <c r="R29" s="4">
        <f t="shared" si="6"/>
        <v>1.6841048707960571</v>
      </c>
      <c r="S29" s="360">
        <f t="shared" si="7"/>
        <v>2.5525882942551037E-2</v>
      </c>
      <c r="T29" s="360">
        <f t="shared" si="8"/>
        <v>0.3</v>
      </c>
      <c r="U29" s="360">
        <f t="shared" si="9"/>
        <v>0.32619199002688898</v>
      </c>
      <c r="V29" s="4">
        <f t="shared" si="37"/>
        <v>0.52555610151439003</v>
      </c>
      <c r="W29" s="360">
        <f t="shared" si="10"/>
        <v>5.5241843167800763E-4</v>
      </c>
      <c r="X29" s="360">
        <f t="shared" si="38"/>
        <v>5.5241843167800763E-4</v>
      </c>
      <c r="Y29" s="4">
        <f t="shared" si="11"/>
        <v>0.71854412637762144</v>
      </c>
      <c r="Z29" s="360">
        <f t="shared" si="12"/>
        <v>5.1630566155177928E-4</v>
      </c>
      <c r="AA29" s="541">
        <f t="shared" si="39"/>
        <v>5.1630566155177928E-4</v>
      </c>
      <c r="AB29" s="360">
        <f t="shared" si="13"/>
        <v>0.82385276972984045</v>
      </c>
      <c r="AC29" s="360">
        <f t="shared" si="14"/>
        <v>4.072400317149177E-3</v>
      </c>
      <c r="AD29" s="360">
        <f t="shared" si="15"/>
        <v>0.12691056386651323</v>
      </c>
      <c r="AE29" s="360">
        <f t="shared" si="16"/>
        <v>0.63444464999999983</v>
      </c>
      <c r="AF29" s="360">
        <f t="shared" si="17"/>
        <v>0</v>
      </c>
      <c r="AG29" s="360">
        <f t="shared" si="18"/>
        <v>0.76590171105605565</v>
      </c>
      <c r="AH29" s="360">
        <f t="shared" si="19"/>
        <v>1.4688348544501095</v>
      </c>
      <c r="AI29" s="360">
        <f t="shared" si="20"/>
        <v>5.3936895741186867E-3</v>
      </c>
      <c r="AJ29" s="360">
        <f t="shared" si="21"/>
        <v>6.5855999999999998E-2</v>
      </c>
      <c r="AK29" s="360">
        <f t="shared" si="22"/>
        <v>7.1326632316735444E-2</v>
      </c>
      <c r="AL29" s="360">
        <f t="shared" si="23"/>
        <v>6.5855999999999998E-2</v>
      </c>
      <c r="AM29" s="360">
        <f t="shared" si="24"/>
        <v>0.5292</v>
      </c>
      <c r="AN29" s="360">
        <f t="shared" si="25"/>
        <v>2.8362092158390043E-2</v>
      </c>
      <c r="AO29" s="360">
        <f t="shared" si="26"/>
        <v>7.3499999999999998E-4</v>
      </c>
      <c r="AP29" s="360">
        <f t="shared" si="27"/>
        <v>0.34650000000000003</v>
      </c>
      <c r="AQ29" s="360">
        <f t="shared" si="28"/>
        <v>1.3167</v>
      </c>
      <c r="AR29" s="360">
        <f t="shared" si="29"/>
        <v>1.1088</v>
      </c>
      <c r="AS29" s="360">
        <f t="shared" si="48"/>
        <v>0.34723500000000002</v>
      </c>
      <c r="AT29" s="360">
        <f t="shared" si="41"/>
        <v>2.1351421496512999</v>
      </c>
      <c r="AU29">
        <f t="shared" si="30"/>
        <v>8</v>
      </c>
      <c r="AV29" s="542">
        <f t="shared" si="42"/>
        <v>0.78933278703695742</v>
      </c>
      <c r="AW29" s="551">
        <f t="shared" si="31"/>
        <v>55.758685552802788</v>
      </c>
      <c r="AX29" s="551">
        <f t="shared" si="32"/>
        <v>9.3465800280359481</v>
      </c>
      <c r="AY29" s="9"/>
      <c r="AZ29" s="4">
        <f t="shared" si="43"/>
        <v>78.933278703695748</v>
      </c>
      <c r="BA29" s="360">
        <f t="shared" si="33"/>
        <v>0.32619199002688898</v>
      </c>
      <c r="BB29" s="360">
        <f t="shared" si="44"/>
        <v>1.3664283433727911</v>
      </c>
      <c r="BC29" s="360">
        <f t="shared" si="45"/>
        <v>1.1151737110560558</v>
      </c>
      <c r="BD29" s="360">
        <f t="shared" si="46"/>
        <v>0.24596263231673546</v>
      </c>
      <c r="BE29" s="360">
        <f t="shared" si="47"/>
        <v>2.8362092158390043E-2</v>
      </c>
    </row>
    <row r="30" spans="1:65" x14ac:dyDescent="0.2">
      <c r="A30" s="22" t="s">
        <v>60</v>
      </c>
      <c r="B30" s="27">
        <f>RdsonDRB</f>
        <v>1</v>
      </c>
      <c r="C30" s="444" t="s">
        <v>116</v>
      </c>
      <c r="D30" s="440" t="s">
        <v>505</v>
      </c>
      <c r="G30">
        <v>21</v>
      </c>
      <c r="H30" s="548">
        <f t="shared" si="0"/>
        <v>21</v>
      </c>
      <c r="I30" s="4">
        <f t="shared" si="1"/>
        <v>1</v>
      </c>
      <c r="J30" s="360">
        <f t="shared" si="34"/>
        <v>1.68</v>
      </c>
      <c r="K30" s="4">
        <f t="shared" si="2"/>
        <v>0.44444444444444442</v>
      </c>
      <c r="L30" s="4"/>
      <c r="M30" s="360">
        <f t="shared" si="3"/>
        <v>0.23937076529728352</v>
      </c>
      <c r="N30" s="4">
        <f t="shared" si="4"/>
        <v>1.8209048102243068</v>
      </c>
      <c r="O30" s="4">
        <f t="shared" si="35"/>
        <v>2.5904524051121536</v>
      </c>
      <c r="P30" s="4">
        <f t="shared" si="36"/>
        <v>0.76954759488784652</v>
      </c>
      <c r="Q30" s="4">
        <f t="shared" si="5"/>
        <v>0</v>
      </c>
      <c r="R30" s="4">
        <f t="shared" si="6"/>
        <v>1.7603147050053771</v>
      </c>
      <c r="S30" s="360">
        <f t="shared" si="7"/>
        <v>2.788837074592351E-2</v>
      </c>
      <c r="T30" s="360">
        <f t="shared" si="8"/>
        <v>0.3</v>
      </c>
      <c r="U30" s="360">
        <f t="shared" si="9"/>
        <v>0.32862154831187718</v>
      </c>
      <c r="V30" s="4">
        <f t="shared" si="37"/>
        <v>0.52564994117584396</v>
      </c>
      <c r="W30" s="360">
        <f t="shared" si="10"/>
        <v>5.5261572131633642E-4</v>
      </c>
      <c r="X30" s="360">
        <f t="shared" si="38"/>
        <v>5.5261572131633642E-4</v>
      </c>
      <c r="Y30" s="4">
        <f t="shared" si="11"/>
        <v>0.75112527806148743</v>
      </c>
      <c r="Z30" s="360">
        <f t="shared" si="12"/>
        <v>5.6418918334294682E-4</v>
      </c>
      <c r="AA30" s="541">
        <f t="shared" si="39"/>
        <v>5.6418918334294682E-4</v>
      </c>
      <c r="AB30" s="360">
        <f t="shared" si="13"/>
        <v>0.86124332916920399</v>
      </c>
      <c r="AC30" s="360">
        <f t="shared" si="14"/>
        <v>4.4504404322307234E-3</v>
      </c>
      <c r="AD30" s="360">
        <f t="shared" si="15"/>
        <v>0.1332560920598389</v>
      </c>
      <c r="AE30" s="360">
        <f t="shared" si="16"/>
        <v>0.63444464999999983</v>
      </c>
      <c r="AF30" s="360">
        <f t="shared" si="17"/>
        <v>0</v>
      </c>
      <c r="AG30" s="360">
        <f t="shared" si="18"/>
        <v>0.77267387082548833</v>
      </c>
      <c r="AH30" s="360">
        <f t="shared" si="19"/>
        <v>1.5352419316250172</v>
      </c>
      <c r="AI30" s="360">
        <f t="shared" si="20"/>
        <v>5.8924194715492852E-3</v>
      </c>
      <c r="AJ30" s="360">
        <f t="shared" si="21"/>
        <v>6.9148799999999983E-2</v>
      </c>
      <c r="AK30" s="360">
        <f t="shared" si="22"/>
        <v>7.5129758682139558E-2</v>
      </c>
      <c r="AL30" s="360">
        <f t="shared" si="23"/>
        <v>6.9148799999999983E-2</v>
      </c>
      <c r="AM30" s="360">
        <f t="shared" si="24"/>
        <v>0.55565999999999993</v>
      </c>
      <c r="AN30" s="360">
        <f t="shared" si="25"/>
        <v>3.0987078606581678E-2</v>
      </c>
      <c r="AO30" s="360">
        <f t="shared" si="26"/>
        <v>7.3499999999999998E-4</v>
      </c>
      <c r="AP30" s="360">
        <f t="shared" si="27"/>
        <v>0.34650000000000003</v>
      </c>
      <c r="AQ30" s="360">
        <f t="shared" si="28"/>
        <v>1.3167</v>
      </c>
      <c r="AR30" s="360">
        <f t="shared" si="29"/>
        <v>1.1088</v>
      </c>
      <c r="AS30" s="360">
        <f t="shared" si="48"/>
        <v>0.34723500000000002</v>
      </c>
      <c r="AT30" s="360">
        <f t="shared" si="41"/>
        <v>2.180572861330746</v>
      </c>
      <c r="AU30">
        <f t="shared" si="30"/>
        <v>8.4</v>
      </c>
      <c r="AV30" s="542">
        <f t="shared" si="42"/>
        <v>0.79390786397774582</v>
      </c>
      <c r="AW30" s="551">
        <f t="shared" si="31"/>
        <v>56.970473541274416</v>
      </c>
      <c r="AX30" s="551">
        <f t="shared" si="32"/>
        <v>9.8229072299213023</v>
      </c>
      <c r="AY30" s="9"/>
      <c r="AZ30" s="4">
        <f t="shared" si="43"/>
        <v>79.390786397774576</v>
      </c>
      <c r="BA30" s="360">
        <f t="shared" si="33"/>
        <v>0.32862154831187718</v>
      </c>
      <c r="BB30" s="360">
        <f t="shared" si="44"/>
        <v>1.4034636295076277</v>
      </c>
      <c r="BC30" s="360">
        <f t="shared" si="45"/>
        <v>1.1394094708254883</v>
      </c>
      <c r="BD30" s="360">
        <f t="shared" si="46"/>
        <v>0.25849755868213953</v>
      </c>
      <c r="BE30" s="360">
        <f t="shared" si="47"/>
        <v>3.0987078606581678E-2</v>
      </c>
    </row>
    <row r="31" spans="1:65" x14ac:dyDescent="0.2">
      <c r="A31" s="22" t="s">
        <v>125</v>
      </c>
      <c r="B31" s="27">
        <v>1</v>
      </c>
      <c r="C31" s="444" t="s">
        <v>116</v>
      </c>
      <c r="D31" s="440" t="s">
        <v>504</v>
      </c>
      <c r="G31">
        <v>22</v>
      </c>
      <c r="H31" s="548">
        <f t="shared" si="0"/>
        <v>21</v>
      </c>
      <c r="I31" s="4">
        <f t="shared" si="1"/>
        <v>1</v>
      </c>
      <c r="J31" s="360">
        <f t="shared" si="34"/>
        <v>1.76</v>
      </c>
      <c r="K31" s="4">
        <f t="shared" si="2"/>
        <v>0.46560846560846558</v>
      </c>
      <c r="L31" s="4"/>
      <c r="M31" s="360">
        <f t="shared" si="3"/>
        <v>0.23943147161736655</v>
      </c>
      <c r="N31" s="4">
        <f t="shared" si="4"/>
        <v>1.8212297881081747</v>
      </c>
      <c r="O31" s="4">
        <f t="shared" si="35"/>
        <v>2.6706148940540873</v>
      </c>
      <c r="P31" s="4">
        <f t="shared" si="36"/>
        <v>0.84938510594591266</v>
      </c>
      <c r="Q31" s="4">
        <f t="shared" si="5"/>
        <v>0</v>
      </c>
      <c r="R31" s="4">
        <f t="shared" si="6"/>
        <v>1.8368468893979828</v>
      </c>
      <c r="S31" s="360">
        <f t="shared" si="7"/>
        <v>3.0366058455819404E-2</v>
      </c>
      <c r="T31" s="360">
        <f t="shared" si="8"/>
        <v>0.3</v>
      </c>
      <c r="U31" s="360">
        <f t="shared" si="9"/>
        <v>0.33117056603718997</v>
      </c>
      <c r="V31" s="4">
        <f t="shared" si="37"/>
        <v>0.52574375421020991</v>
      </c>
      <c r="W31" s="360">
        <f t="shared" si="10"/>
        <v>5.5281299018209123E-4</v>
      </c>
      <c r="X31" s="360">
        <f t="shared" si="38"/>
        <v>5.5281299018209123E-4</v>
      </c>
      <c r="Y31" s="4">
        <f t="shared" si="11"/>
        <v>0.78384961602722825</v>
      </c>
      <c r="Z31" s="360">
        <f t="shared" si="12"/>
        <v>6.1442022054603322E-4</v>
      </c>
      <c r="AA31" s="541">
        <f t="shared" si="39"/>
        <v>6.1442022054603322E-4</v>
      </c>
      <c r="AB31" s="360">
        <f t="shared" si="13"/>
        <v>0.89880105716793746</v>
      </c>
      <c r="AC31" s="360">
        <f t="shared" si="14"/>
        <v>4.8470600421972121E-3</v>
      </c>
      <c r="AD31" s="360">
        <f t="shared" si="15"/>
        <v>0.13960162025316455</v>
      </c>
      <c r="AE31" s="360">
        <f t="shared" si="16"/>
        <v>0.63444464999999983</v>
      </c>
      <c r="AF31" s="360">
        <f t="shared" si="17"/>
        <v>0</v>
      </c>
      <c r="AG31" s="360">
        <f t="shared" si="18"/>
        <v>0.77946760549064531</v>
      </c>
      <c r="AH31" s="360">
        <f t="shared" si="19"/>
        <v>1.6019248280505685</v>
      </c>
      <c r="AI31" s="360">
        <f t="shared" si="20"/>
        <v>6.4154078868121078E-3</v>
      </c>
      <c r="AJ31" s="360">
        <f t="shared" si="21"/>
        <v>7.2441599999999995E-2</v>
      </c>
      <c r="AK31" s="360">
        <f t="shared" si="22"/>
        <v>7.8958317849824738E-2</v>
      </c>
      <c r="AL31" s="360">
        <f t="shared" si="23"/>
        <v>7.2441599999999995E-2</v>
      </c>
      <c r="AM31" s="360">
        <f t="shared" si="24"/>
        <v>0.58211999999999997</v>
      </c>
      <c r="AN31" s="360">
        <f t="shared" si="25"/>
        <v>3.3740064950910455E-2</v>
      </c>
      <c r="AO31" s="360">
        <f t="shared" si="26"/>
        <v>7.3499999999999998E-4</v>
      </c>
      <c r="AP31" s="360">
        <f t="shared" si="27"/>
        <v>0.34650000000000003</v>
      </c>
      <c r="AQ31" s="360">
        <f t="shared" si="28"/>
        <v>1.3167</v>
      </c>
      <c r="AR31" s="360">
        <f t="shared" si="29"/>
        <v>1.1088</v>
      </c>
      <c r="AS31" s="360">
        <f t="shared" si="48"/>
        <v>0.34723500000000002</v>
      </c>
      <c r="AT31" s="360">
        <f t="shared" si="41"/>
        <v>2.2263003875392986</v>
      </c>
      <c r="AU31">
        <f t="shared" si="30"/>
        <v>8.8000000000000007</v>
      </c>
      <c r="AV31" s="542">
        <f t="shared" si="42"/>
        <v>0.79809180692599158</v>
      </c>
      <c r="AW31" s="551">
        <f t="shared" si="31"/>
        <v>58.18334027453227</v>
      </c>
      <c r="AX31" s="551">
        <f t="shared" si="32"/>
        <v>10.300200878293341</v>
      </c>
      <c r="AY31" s="9"/>
      <c r="AZ31" s="4">
        <f t="shared" si="43"/>
        <v>79.809180692599156</v>
      </c>
      <c r="BA31" s="360">
        <f t="shared" si="33"/>
        <v>0.33117056603718997</v>
      </c>
      <c r="BB31" s="360">
        <f t="shared" si="44"/>
        <v>1.44054592334047</v>
      </c>
      <c r="BC31" s="360">
        <f t="shared" si="45"/>
        <v>1.1636668054906454</v>
      </c>
      <c r="BD31" s="360">
        <f t="shared" si="46"/>
        <v>0.27105791784982475</v>
      </c>
      <c r="BE31" s="360">
        <f t="shared" si="47"/>
        <v>3.3740064950910455E-2</v>
      </c>
    </row>
    <row r="32" spans="1:65" x14ac:dyDescent="0.2">
      <c r="A32" s="24" t="s">
        <v>62</v>
      </c>
      <c r="B32" s="15" t="s">
        <v>111</v>
      </c>
      <c r="C32" s="24" t="s">
        <v>76</v>
      </c>
      <c r="D32" s="17" t="s">
        <v>107</v>
      </c>
      <c r="G32">
        <v>23</v>
      </c>
      <c r="H32" s="548">
        <f t="shared" si="0"/>
        <v>21</v>
      </c>
      <c r="I32" s="4">
        <f t="shared" si="1"/>
        <v>1</v>
      </c>
      <c r="J32" s="360">
        <f t="shared" si="34"/>
        <v>1.84</v>
      </c>
      <c r="K32" s="4">
        <f t="shared" si="2"/>
        <v>0.4867724867724868</v>
      </c>
      <c r="L32" s="4"/>
      <c r="M32" s="360">
        <f t="shared" si="3"/>
        <v>0.23949217493275257</v>
      </c>
      <c r="N32" s="4">
        <f t="shared" si="4"/>
        <v>1.8215546737599511</v>
      </c>
      <c r="O32" s="4">
        <f t="shared" si="35"/>
        <v>2.7507773368799757</v>
      </c>
      <c r="P32" s="4">
        <f t="shared" si="36"/>
        <v>0.92922266312002455</v>
      </c>
      <c r="Q32" s="4">
        <f t="shared" si="5"/>
        <v>0</v>
      </c>
      <c r="R32" s="4">
        <f t="shared" si="6"/>
        <v>1.9136627495785998</v>
      </c>
      <c r="S32" s="360">
        <f t="shared" si="7"/>
        <v>3.295894607212254E-2</v>
      </c>
      <c r="T32" s="360">
        <f t="shared" si="8"/>
        <v>0.3</v>
      </c>
      <c r="U32" s="360">
        <f t="shared" si="9"/>
        <v>0.33383918508796856</v>
      </c>
      <c r="V32" s="4">
        <f t="shared" si="37"/>
        <v>0.52583754061946442</v>
      </c>
      <c r="W32" s="360">
        <f t="shared" si="10"/>
        <v>5.5301023824945385E-4</v>
      </c>
      <c r="X32" s="360">
        <f t="shared" si="38"/>
        <v>5.5301023824945385E-4</v>
      </c>
      <c r="Y32" s="4">
        <f t="shared" si="11"/>
        <v>0.81670066778278905</v>
      </c>
      <c r="Z32" s="360">
        <f t="shared" si="12"/>
        <v>6.6699998075685349E-4</v>
      </c>
      <c r="AA32" s="541">
        <f t="shared" si="39"/>
        <v>6.6699998075685349E-4</v>
      </c>
      <c r="AB32" s="360">
        <f t="shared" si="13"/>
        <v>0.93650708476313604</v>
      </c>
      <c r="AC32" s="360">
        <f t="shared" si="14"/>
        <v>5.2622731188692864E-3</v>
      </c>
      <c r="AD32" s="360">
        <f t="shared" si="15"/>
        <v>0.14594714844649023</v>
      </c>
      <c r="AE32" s="360">
        <f t="shared" si="16"/>
        <v>0.63444464999999983</v>
      </c>
      <c r="AF32" s="360">
        <f t="shared" si="17"/>
        <v>0</v>
      </c>
      <c r="AG32" s="360">
        <f t="shared" si="18"/>
        <v>0.78628299221513054</v>
      </c>
      <c r="AH32" s="360">
        <f t="shared" si="19"/>
        <v>1.6688497833277802</v>
      </c>
      <c r="AI32" s="360">
        <f t="shared" si="20"/>
        <v>6.9626489982829477E-3</v>
      </c>
      <c r="AJ32" s="360">
        <f t="shared" si="21"/>
        <v>7.5734399999999993E-2</v>
      </c>
      <c r="AK32" s="360">
        <f t="shared" si="22"/>
        <v>8.2812367688068683E-2</v>
      </c>
      <c r="AL32" s="360">
        <f t="shared" si="23"/>
        <v>7.5734399999999993E-2</v>
      </c>
      <c r="AM32" s="360">
        <f t="shared" si="24"/>
        <v>0.60858000000000001</v>
      </c>
      <c r="AN32" s="360">
        <f t="shared" si="25"/>
        <v>3.662105119124727E-2</v>
      </c>
      <c r="AO32" s="360">
        <f t="shared" si="26"/>
        <v>7.3499999999999998E-4</v>
      </c>
      <c r="AP32" s="360">
        <f t="shared" si="27"/>
        <v>0.34650000000000003</v>
      </c>
      <c r="AQ32" s="360">
        <f t="shared" si="28"/>
        <v>1.3167</v>
      </c>
      <c r="AR32" s="360">
        <f t="shared" si="29"/>
        <v>1.1088</v>
      </c>
      <c r="AS32" s="360">
        <f t="shared" si="48"/>
        <v>0.34723500000000002</v>
      </c>
      <c r="AT32" s="360">
        <f t="shared" si="41"/>
        <v>2.2723250064014215</v>
      </c>
      <c r="AU32">
        <f t="shared" si="30"/>
        <v>9.2000000000000011</v>
      </c>
      <c r="AV32" s="542">
        <f t="shared" si="42"/>
        <v>0.80192986119783993</v>
      </c>
      <c r="AW32" s="551">
        <f t="shared" si="31"/>
        <v>59.39728961075653</v>
      </c>
      <c r="AX32" s="551">
        <f t="shared" si="32"/>
        <v>10.77846317214661</v>
      </c>
      <c r="AY32" s="9"/>
      <c r="AZ32" s="4">
        <f t="shared" si="43"/>
        <v>80.192986119783995</v>
      </c>
      <c r="BA32" s="360">
        <f t="shared" si="33"/>
        <v>0.33383918508796856</v>
      </c>
      <c r="BB32" s="360">
        <f t="shared" si="44"/>
        <v>1.4776753599031993</v>
      </c>
      <c r="BC32" s="360">
        <f t="shared" si="45"/>
        <v>1.1879457922151306</v>
      </c>
      <c r="BD32" s="360">
        <f t="shared" si="46"/>
        <v>0.2836437676880687</v>
      </c>
      <c r="BE32" s="360">
        <f t="shared" si="47"/>
        <v>3.662105119124727E-2</v>
      </c>
    </row>
    <row r="33" spans="1:57" x14ac:dyDescent="0.2">
      <c r="A33" s="22" t="s">
        <v>62</v>
      </c>
      <c r="B33" s="5">
        <f>Deadtime*1000000000</f>
        <v>14</v>
      </c>
      <c r="C33" s="440" t="s">
        <v>75</v>
      </c>
      <c r="D33" s="21" t="s">
        <v>98</v>
      </c>
      <c r="G33">
        <v>24</v>
      </c>
      <c r="H33" s="548">
        <f t="shared" si="0"/>
        <v>21</v>
      </c>
      <c r="I33" s="4">
        <f t="shared" si="1"/>
        <v>1</v>
      </c>
      <c r="J33" s="360">
        <f t="shared" si="34"/>
        <v>1.92</v>
      </c>
      <c r="K33" s="4">
        <f t="shared" si="2"/>
        <v>0.50793650793650791</v>
      </c>
      <c r="L33" s="4"/>
      <c r="M33" s="360">
        <f t="shared" si="3"/>
        <v>0.2395528752436647</v>
      </c>
      <c r="N33" s="4">
        <f t="shared" si="4"/>
        <v>1.8218794671864844</v>
      </c>
      <c r="O33" s="4">
        <f t="shared" si="35"/>
        <v>2.830939733593242</v>
      </c>
      <c r="P33" s="4">
        <f t="shared" si="36"/>
        <v>1.0090602664067578</v>
      </c>
      <c r="Q33" s="4">
        <f t="shared" si="5"/>
        <v>0</v>
      </c>
      <c r="R33" s="4">
        <f t="shared" si="6"/>
        <v>1.9907294474002009</v>
      </c>
      <c r="S33" s="360">
        <f t="shared" si="7"/>
        <v>3.5667033594716777E-2</v>
      </c>
      <c r="T33" s="360">
        <f t="shared" si="8"/>
        <v>0.3</v>
      </c>
      <c r="U33" s="360">
        <f t="shared" si="9"/>
        <v>0.33662755409718809</v>
      </c>
      <c r="V33" s="4">
        <f t="shared" si="37"/>
        <v>0.52593130040558445</v>
      </c>
      <c r="W33" s="360">
        <f t="shared" si="10"/>
        <v>5.532074654926182E-4</v>
      </c>
      <c r="X33" s="360">
        <f t="shared" si="38"/>
        <v>5.532074654926182E-4</v>
      </c>
      <c r="Y33" s="4">
        <f t="shared" si="11"/>
        <v>0.84966444605285363</v>
      </c>
      <c r="Z33" s="360">
        <f t="shared" si="12"/>
        <v>7.2192967088630263E-4</v>
      </c>
      <c r="AA33" s="541">
        <f t="shared" si="39"/>
        <v>7.2192967088630263E-4</v>
      </c>
      <c r="AB33" s="360">
        <f t="shared" si="13"/>
        <v>0.97434538988017705</v>
      </c>
      <c r="AC33" s="360">
        <f t="shared" si="14"/>
        <v>5.6960936326845256E-3</v>
      </c>
      <c r="AD33" s="360">
        <f t="shared" si="15"/>
        <v>0.15229267663981588</v>
      </c>
      <c r="AE33" s="360">
        <f t="shared" si="16"/>
        <v>0.63444464999999983</v>
      </c>
      <c r="AF33" s="360">
        <f t="shared" si="17"/>
        <v>0</v>
      </c>
      <c r="AG33" s="360">
        <f t="shared" si="18"/>
        <v>0.79312010860538851</v>
      </c>
      <c r="AH33" s="360">
        <f t="shared" si="19"/>
        <v>1.7359881318619534</v>
      </c>
      <c r="AI33" s="360">
        <f t="shared" si="20"/>
        <v>7.5341369849138877E-3</v>
      </c>
      <c r="AJ33" s="360">
        <f t="shared" si="21"/>
        <v>7.9027199999999992E-2</v>
      </c>
      <c r="AK33" s="360">
        <f t="shared" si="22"/>
        <v>8.6691966815609964E-2</v>
      </c>
      <c r="AL33" s="360">
        <f t="shared" si="23"/>
        <v>7.9027199999999992E-2</v>
      </c>
      <c r="AM33" s="360">
        <f t="shared" si="24"/>
        <v>0.63503999999999994</v>
      </c>
      <c r="AN33" s="360">
        <f t="shared" si="25"/>
        <v>3.9630037327463091E-2</v>
      </c>
      <c r="AO33" s="360">
        <f t="shared" si="26"/>
        <v>7.3499999999999998E-4</v>
      </c>
      <c r="AP33" s="360">
        <f t="shared" si="27"/>
        <v>0.34650000000000003</v>
      </c>
      <c r="AQ33" s="360">
        <f t="shared" si="28"/>
        <v>1.3167</v>
      </c>
      <c r="AR33" s="360">
        <f t="shared" si="29"/>
        <v>1.1088</v>
      </c>
      <c r="AS33" s="360">
        <f t="shared" si="48"/>
        <v>0.34723500000000002</v>
      </c>
      <c r="AT33" s="360">
        <f t="shared" si="41"/>
        <v>2.3186470039820284</v>
      </c>
      <c r="AU33">
        <f t="shared" si="30"/>
        <v>9.6</v>
      </c>
      <c r="AV33" s="542">
        <f t="shared" si="42"/>
        <v>0.80546055242618009</v>
      </c>
      <c r="AW33" s="551">
        <f t="shared" si="31"/>
        <v>60.612325430269422</v>
      </c>
      <c r="AX33" s="551">
        <f t="shared" si="32"/>
        <v>11.257696338993178</v>
      </c>
      <c r="AY33" s="9"/>
      <c r="AZ33" s="4">
        <f t="shared" si="43"/>
        <v>80.54605524261801</v>
      </c>
      <c r="BA33" s="360">
        <f t="shared" si="33"/>
        <v>0.33662755409718809</v>
      </c>
      <c r="BB33" s="360">
        <f t="shared" si="44"/>
        <v>1.5148520754209984</v>
      </c>
      <c r="BC33" s="360">
        <f t="shared" si="45"/>
        <v>1.2122465086053884</v>
      </c>
      <c r="BD33" s="360">
        <f t="shared" si="46"/>
        <v>0.29625516681560993</v>
      </c>
      <c r="BE33" s="360">
        <f t="shared" si="47"/>
        <v>3.9630037327463091E-2</v>
      </c>
    </row>
    <row r="34" spans="1:57" x14ac:dyDescent="0.2">
      <c r="A34" s="24" t="s">
        <v>52</v>
      </c>
      <c r="B34" s="15" t="s">
        <v>111</v>
      </c>
      <c r="C34" s="24" t="s">
        <v>76</v>
      </c>
      <c r="D34" s="17" t="s">
        <v>107</v>
      </c>
      <c r="G34">
        <v>25</v>
      </c>
      <c r="H34" s="548">
        <f t="shared" si="0"/>
        <v>21</v>
      </c>
      <c r="I34" s="4">
        <f t="shared" si="1"/>
        <v>1</v>
      </c>
      <c r="J34" s="360">
        <f t="shared" si="34"/>
        <v>2</v>
      </c>
      <c r="K34" s="4">
        <f t="shared" si="2"/>
        <v>0.52910052910052907</v>
      </c>
      <c r="L34" s="4"/>
      <c r="M34" s="360">
        <f t="shared" si="3"/>
        <v>0.23961357255032598</v>
      </c>
      <c r="N34" s="4">
        <f t="shared" si="4"/>
        <v>1.8222041683946217</v>
      </c>
      <c r="O34" s="4">
        <f t="shared" si="35"/>
        <v>2.911102084197311</v>
      </c>
      <c r="P34" s="4">
        <f t="shared" si="36"/>
        <v>1.088897915802689</v>
      </c>
      <c r="Q34" s="4">
        <f t="shared" si="5"/>
        <v>0</v>
      </c>
      <c r="R34" s="4">
        <f t="shared" si="6"/>
        <v>2.0680189399381463</v>
      </c>
      <c r="S34" s="360">
        <f t="shared" si="7"/>
        <v>3.8490321023486047E-2</v>
      </c>
      <c r="T34" s="360">
        <f t="shared" si="8"/>
        <v>0.3</v>
      </c>
      <c r="U34" s="360">
        <f t="shared" si="9"/>
        <v>0.33953582846641783</v>
      </c>
      <c r="V34" s="4">
        <f t="shared" si="37"/>
        <v>0.52602503357054653</v>
      </c>
      <c r="W34" s="360">
        <f t="shared" si="10"/>
        <v>5.5340467188578926E-4</v>
      </c>
      <c r="X34" s="360">
        <f t="shared" si="38"/>
        <v>5.5340467188578926E-4</v>
      </c>
      <c r="Y34" s="4">
        <f t="shared" si="11"/>
        <v>0.88272900550537414</v>
      </c>
      <c r="Z34" s="360">
        <f t="shared" si="12"/>
        <v>7.792104971605069E-4</v>
      </c>
      <c r="AA34" s="541">
        <f t="shared" si="39"/>
        <v>7.792104971605069E-4</v>
      </c>
      <c r="AB34" s="360">
        <f t="shared" si="13"/>
        <v>1.0123022895605844</v>
      </c>
      <c r="AC34" s="360">
        <f t="shared" si="14"/>
        <v>6.1485355526976074E-3</v>
      </c>
      <c r="AD34" s="360">
        <f t="shared" si="15"/>
        <v>0.15863820483314153</v>
      </c>
      <c r="AE34" s="360">
        <f t="shared" si="16"/>
        <v>0.63444464999999983</v>
      </c>
      <c r="AF34" s="360">
        <f t="shared" si="17"/>
        <v>0</v>
      </c>
      <c r="AG34" s="360">
        <f t="shared" si="18"/>
        <v>0.7999790327134948</v>
      </c>
      <c r="AH34" s="360">
        <f t="shared" si="19"/>
        <v>1.8033153940709576</v>
      </c>
      <c r="AI34" s="360">
        <f t="shared" si="20"/>
        <v>8.1298660262332338E-3</v>
      </c>
      <c r="AJ34" s="360">
        <f t="shared" si="21"/>
        <v>8.231999999999999E-2</v>
      </c>
      <c r="AK34" s="360">
        <f t="shared" si="22"/>
        <v>9.0597174604611377E-2</v>
      </c>
      <c r="AL34" s="360">
        <f t="shared" si="23"/>
        <v>8.231999999999999E-2</v>
      </c>
      <c r="AM34" s="360">
        <f t="shared" si="24"/>
        <v>0.66149999999999998</v>
      </c>
      <c r="AN34" s="360">
        <f t="shared" si="25"/>
        <v>4.2767023359428939E-2</v>
      </c>
      <c r="AO34" s="360">
        <f t="shared" si="26"/>
        <v>7.3499999999999998E-4</v>
      </c>
      <c r="AP34" s="360">
        <f t="shared" si="27"/>
        <v>0.34650000000000003</v>
      </c>
      <c r="AQ34" s="360">
        <f t="shared" si="28"/>
        <v>1.3167</v>
      </c>
      <c r="AR34" s="360">
        <f t="shared" si="29"/>
        <v>1.1088</v>
      </c>
      <c r="AS34" s="360">
        <f t="shared" si="48"/>
        <v>0.34723500000000002</v>
      </c>
      <c r="AT34" s="360">
        <f t="shared" si="41"/>
        <v>2.3652666743129993</v>
      </c>
      <c r="AU34">
        <f t="shared" si="30"/>
        <v>10</v>
      </c>
      <c r="AV34" s="542">
        <f t="shared" si="42"/>
        <v>0.80871688928258312</v>
      </c>
      <c r="AW34" s="551">
        <f t="shared" si="31"/>
        <v>61.828451635674739</v>
      </c>
      <c r="AX34" s="551">
        <f t="shared" si="32"/>
        <v>11.737902634975232</v>
      </c>
      <c r="AY34" s="9"/>
      <c r="AZ34" s="4">
        <f t="shared" si="43"/>
        <v>80.871688928258308</v>
      </c>
      <c r="BA34" s="360">
        <f t="shared" si="33"/>
        <v>0.33953582846641783</v>
      </c>
      <c r="BB34" s="360">
        <f t="shared" si="44"/>
        <v>1.5520762073181062</v>
      </c>
      <c r="BC34" s="360">
        <f t="shared" si="45"/>
        <v>1.2365690327134948</v>
      </c>
      <c r="BD34" s="360">
        <f t="shared" si="46"/>
        <v>0.30889217460461138</v>
      </c>
      <c r="BE34" s="360">
        <f t="shared" si="47"/>
        <v>4.2767023359428939E-2</v>
      </c>
    </row>
    <row r="35" spans="1:57" x14ac:dyDescent="0.2">
      <c r="A35" s="22" t="s">
        <v>128</v>
      </c>
      <c r="B35" s="5">
        <f>Iq*1000</f>
        <v>3.4999999999999996E-2</v>
      </c>
      <c r="C35" s="440" t="s">
        <v>64</v>
      </c>
      <c r="D35" s="21" t="s">
        <v>131</v>
      </c>
      <c r="G35">
        <v>26</v>
      </c>
      <c r="H35" s="548">
        <f t="shared" si="0"/>
        <v>21</v>
      </c>
      <c r="I35" s="4">
        <f t="shared" si="1"/>
        <v>1</v>
      </c>
      <c r="J35" s="360">
        <f t="shared" si="34"/>
        <v>2.08</v>
      </c>
      <c r="K35" s="4">
        <f t="shared" si="2"/>
        <v>0.55026455026455023</v>
      </c>
      <c r="L35" s="4"/>
      <c r="M35" s="360">
        <f t="shared" si="3"/>
        <v>0.23967426685295945</v>
      </c>
      <c r="N35" s="4">
        <f t="shared" si="4"/>
        <v>1.8225287773912091</v>
      </c>
      <c r="O35" s="4">
        <f t="shared" si="35"/>
        <v>2.9912643886956047</v>
      </c>
      <c r="P35" s="4">
        <f t="shared" si="36"/>
        <v>1.1687356113043954</v>
      </c>
      <c r="Q35" s="4">
        <f t="shared" si="5"/>
        <v>0</v>
      </c>
      <c r="R35" s="4">
        <f t="shared" si="6"/>
        <v>2.1455071495340192</v>
      </c>
      <c r="S35" s="360">
        <f t="shared" si="7"/>
        <v>4.1428808358314327E-2</v>
      </c>
      <c r="T35" s="360">
        <f t="shared" si="8"/>
        <v>0.3</v>
      </c>
      <c r="U35" s="360">
        <f t="shared" si="9"/>
        <v>0.34256417038754711</v>
      </c>
      <c r="V35" s="4">
        <f t="shared" si="37"/>
        <v>0.52611874011632709</v>
      </c>
      <c r="W35" s="360">
        <f t="shared" si="10"/>
        <v>5.5360185740318266E-4</v>
      </c>
      <c r="X35" s="360">
        <f t="shared" si="38"/>
        <v>5.5360185740318266E-4</v>
      </c>
      <c r="Y35" s="4">
        <f t="shared" si="11"/>
        <v>0.9158840893480904</v>
      </c>
      <c r="Z35" s="360">
        <f t="shared" si="12"/>
        <v>8.3884366512098089E-4</v>
      </c>
      <c r="AA35" s="541">
        <f t="shared" si="39"/>
        <v>8.3884366512098089E-4</v>
      </c>
      <c r="AB35" s="360">
        <f t="shared" si="13"/>
        <v>1.0503660351341413</v>
      </c>
      <c r="AC35" s="360">
        <f t="shared" si="14"/>
        <v>6.6196128465804962E-3</v>
      </c>
      <c r="AD35" s="360">
        <f t="shared" si="15"/>
        <v>0.16498373302646721</v>
      </c>
      <c r="AE35" s="360">
        <f t="shared" si="16"/>
        <v>0.63444464999999983</v>
      </c>
      <c r="AF35" s="360">
        <f t="shared" si="17"/>
        <v>0</v>
      </c>
      <c r="AG35" s="360">
        <f t="shared" si="18"/>
        <v>0.80685984303996894</v>
      </c>
      <c r="AH35" s="360">
        <f t="shared" si="19"/>
        <v>1.870810551856648</v>
      </c>
      <c r="AI35" s="360">
        <f t="shared" si="20"/>
        <v>8.7498303023454387E-3</v>
      </c>
      <c r="AJ35" s="360">
        <f t="shared" si="21"/>
        <v>8.5612799999999989E-2</v>
      </c>
      <c r="AK35" s="360">
        <f t="shared" si="22"/>
        <v>9.4528051183679157E-2</v>
      </c>
      <c r="AL35" s="360">
        <f t="shared" si="23"/>
        <v>8.5612799999999989E-2</v>
      </c>
      <c r="AM35" s="360">
        <f t="shared" si="24"/>
        <v>0.68796000000000013</v>
      </c>
      <c r="AN35" s="360">
        <f t="shared" si="25"/>
        <v>4.6032009287015924E-2</v>
      </c>
      <c r="AO35" s="360">
        <f t="shared" si="26"/>
        <v>7.3499999999999998E-4</v>
      </c>
      <c r="AP35" s="360">
        <f t="shared" si="27"/>
        <v>0.34650000000000003</v>
      </c>
      <c r="AQ35" s="360">
        <f t="shared" si="28"/>
        <v>1.3167</v>
      </c>
      <c r="AR35" s="360">
        <f t="shared" si="29"/>
        <v>1.1088</v>
      </c>
      <c r="AS35" s="360">
        <f t="shared" si="48"/>
        <v>0.34723500000000002</v>
      </c>
      <c r="AT35" s="360">
        <f t="shared" si="41"/>
        <v>2.4121843194207355</v>
      </c>
      <c r="AU35">
        <f t="shared" si="30"/>
        <v>10.4</v>
      </c>
      <c r="AV35" s="542">
        <f t="shared" si="42"/>
        <v>0.81172731680386923</v>
      </c>
      <c r="AW35" s="551">
        <f t="shared" si="31"/>
        <v>63.045672151998453</v>
      </c>
      <c r="AX35" s="551">
        <f t="shared" si="32"/>
        <v>12.219084344979811</v>
      </c>
      <c r="AY35" s="9"/>
      <c r="AZ35" s="4">
        <f t="shared" si="43"/>
        <v>81.172731680386917</v>
      </c>
      <c r="BA35" s="360">
        <f t="shared" si="33"/>
        <v>0.34256417038754711</v>
      </c>
      <c r="BB35" s="360">
        <f t="shared" si="44"/>
        <v>1.5893478942236481</v>
      </c>
      <c r="BC35" s="360">
        <f t="shared" si="45"/>
        <v>1.2609134430399691</v>
      </c>
      <c r="BD35" s="360">
        <f t="shared" si="46"/>
        <v>0.32155485118367921</v>
      </c>
      <c r="BE35" s="360">
        <f t="shared" si="47"/>
        <v>4.6032009287015924E-2</v>
      </c>
    </row>
    <row r="36" spans="1:57" x14ac:dyDescent="0.2">
      <c r="A36" s="24" t="s">
        <v>525</v>
      </c>
      <c r="B36" s="15" t="s">
        <v>111</v>
      </c>
      <c r="C36" s="24" t="s">
        <v>76</v>
      </c>
      <c r="D36" s="17" t="s">
        <v>107</v>
      </c>
      <c r="G36">
        <v>27</v>
      </c>
      <c r="H36" s="548">
        <f t="shared" si="0"/>
        <v>21</v>
      </c>
      <c r="I36" s="4">
        <f t="shared" si="1"/>
        <v>1</v>
      </c>
      <c r="J36" s="360">
        <f t="shared" si="34"/>
        <v>2.16</v>
      </c>
      <c r="K36" s="4">
        <f t="shared" si="2"/>
        <v>0.5714285714285714</v>
      </c>
      <c r="L36" s="4"/>
      <c r="M36" s="360">
        <f t="shared" si="3"/>
        <v>0.23973495815178802</v>
      </c>
      <c r="N36" s="4">
        <f t="shared" si="4"/>
        <v>1.8228532941830906</v>
      </c>
      <c r="O36" s="4">
        <f t="shared" si="35"/>
        <v>3.0714266470915454</v>
      </c>
      <c r="P36" s="4">
        <f t="shared" si="36"/>
        <v>1.2485733529084548</v>
      </c>
      <c r="Q36" s="4">
        <f t="shared" si="5"/>
        <v>0</v>
      </c>
      <c r="R36" s="4">
        <f t="shared" si="6"/>
        <v>2.2231732975657819</v>
      </c>
      <c r="S36" s="360">
        <f t="shared" si="7"/>
        <v>4.4482495599085611E-2</v>
      </c>
      <c r="T36" s="360">
        <f t="shared" si="8"/>
        <v>0.3</v>
      </c>
      <c r="U36" s="360">
        <f t="shared" si="9"/>
        <v>0.34571274886548214</v>
      </c>
      <c r="V36" s="4">
        <f t="shared" si="37"/>
        <v>0.52621242004490176</v>
      </c>
      <c r="W36" s="360">
        <f t="shared" si="10"/>
        <v>5.537990220190243E-4</v>
      </c>
      <c r="X36" s="360">
        <f t="shared" si="38"/>
        <v>5.537990220190243E-4</v>
      </c>
      <c r="Y36" s="4">
        <f t="shared" si="11"/>
        <v>0.94912084563809873</v>
      </c>
      <c r="Z36" s="360">
        <f t="shared" si="12"/>
        <v>9.0083037962477967E-4</v>
      </c>
      <c r="AA36" s="541">
        <f t="shared" si="39"/>
        <v>9.0083037962477967E-4</v>
      </c>
      <c r="AB36" s="360">
        <f t="shared" si="13"/>
        <v>1.0885264872464511</v>
      </c>
      <c r="AC36" s="360">
        <f t="shared" si="14"/>
        <v>7.1093394806225896E-3</v>
      </c>
      <c r="AD36" s="360">
        <f t="shared" si="15"/>
        <v>0.17132926121979286</v>
      </c>
      <c r="AE36" s="360">
        <f t="shared" si="16"/>
        <v>0.63444464999999983</v>
      </c>
      <c r="AF36" s="360">
        <f t="shared" si="17"/>
        <v>0</v>
      </c>
      <c r="AG36" s="360">
        <f t="shared" si="18"/>
        <v>0.81376261853661158</v>
      </c>
      <c r="AH36" s="360">
        <f t="shared" si="19"/>
        <v>1.9384554670077965</v>
      </c>
      <c r="AI36" s="360">
        <f t="shared" si="20"/>
        <v>9.394023993931036E-3</v>
      </c>
      <c r="AJ36" s="360">
        <f t="shared" si="21"/>
        <v>8.8905600000000001E-2</v>
      </c>
      <c r="AK36" s="360">
        <f t="shared" si="22"/>
        <v>9.8484657440937887E-2</v>
      </c>
      <c r="AL36" s="360">
        <f t="shared" si="23"/>
        <v>8.8905600000000001E-2</v>
      </c>
      <c r="AM36" s="360">
        <f t="shared" si="24"/>
        <v>0.71442000000000005</v>
      </c>
      <c r="AN36" s="360">
        <f t="shared" si="25"/>
        <v>4.9424995110095127E-2</v>
      </c>
      <c r="AO36" s="360">
        <f t="shared" si="26"/>
        <v>7.3499999999999998E-4</v>
      </c>
      <c r="AP36" s="360">
        <f t="shared" si="27"/>
        <v>0.34650000000000003</v>
      </c>
      <c r="AQ36" s="360">
        <f t="shared" si="28"/>
        <v>1.3167</v>
      </c>
      <c r="AR36" s="360">
        <f t="shared" si="29"/>
        <v>1.1088</v>
      </c>
      <c r="AS36" s="360">
        <f t="shared" si="48"/>
        <v>0.34723500000000002</v>
      </c>
      <c r="AT36" s="360">
        <f t="shared" si="41"/>
        <v>2.4594002493547711</v>
      </c>
      <c r="AU36">
        <f t="shared" si="30"/>
        <v>10.8</v>
      </c>
      <c r="AV36" s="542">
        <f t="shared" si="42"/>
        <v>0.81451647864129817</v>
      </c>
      <c r="AW36" s="551">
        <f t="shared" si="31"/>
        <v>64.263990926830587</v>
      </c>
      <c r="AX36" s="551">
        <f t="shared" si="32"/>
        <v>12.701243782755641</v>
      </c>
      <c r="AY36" s="9"/>
      <c r="AZ36" s="4">
        <f t="shared" si="43"/>
        <v>81.451647864129811</v>
      </c>
      <c r="BA36" s="360">
        <f t="shared" si="33"/>
        <v>0.34571274886548214</v>
      </c>
      <c r="BB36" s="360">
        <f t="shared" si="44"/>
        <v>1.6266672759775496</v>
      </c>
      <c r="BC36" s="360">
        <f t="shared" si="45"/>
        <v>1.2852798185366117</v>
      </c>
      <c r="BD36" s="360">
        <f t="shared" si="46"/>
        <v>0.33424325744093791</v>
      </c>
      <c r="BE36" s="360">
        <f t="shared" si="47"/>
        <v>4.9424995110095127E-2</v>
      </c>
    </row>
    <row r="37" spans="1:57" x14ac:dyDescent="0.2">
      <c r="A37" s="23" t="s">
        <v>71</v>
      </c>
      <c r="B37" s="5">
        <f>Rdson3*1000</f>
        <v>6</v>
      </c>
      <c r="C37" s="442" t="s">
        <v>466</v>
      </c>
      <c r="D37" s="440" t="s">
        <v>528</v>
      </c>
      <c r="G37">
        <v>28</v>
      </c>
      <c r="H37" s="548">
        <f t="shared" si="0"/>
        <v>21</v>
      </c>
      <c r="I37" s="4">
        <f t="shared" si="1"/>
        <v>1</v>
      </c>
      <c r="J37" s="360">
        <f t="shared" si="34"/>
        <v>2.2400000000000002</v>
      </c>
      <c r="K37" s="4">
        <f t="shared" si="2"/>
        <v>0.59259259259259256</v>
      </c>
      <c r="L37" s="4"/>
      <c r="M37" s="360">
        <f t="shared" si="3"/>
        <v>0.23979564644703483</v>
      </c>
      <c r="N37" s="4">
        <f t="shared" si="4"/>
        <v>1.8231777187771128</v>
      </c>
      <c r="O37" s="4">
        <f t="shared" si="35"/>
        <v>3.1515888593885566</v>
      </c>
      <c r="P37" s="4">
        <f t="shared" si="36"/>
        <v>1.3284111406114438</v>
      </c>
      <c r="Q37" s="4">
        <f t="shared" si="5"/>
        <v>0</v>
      </c>
      <c r="R37" s="4">
        <f t="shared" si="6"/>
        <v>2.300999366113293</v>
      </c>
      <c r="S37" s="360">
        <f t="shared" si="7"/>
        <v>4.7651382745683979E-2</v>
      </c>
      <c r="T37" s="360">
        <f t="shared" si="8"/>
        <v>0.3</v>
      </c>
      <c r="U37" s="360">
        <f t="shared" si="9"/>
        <v>0.34898173974181934</v>
      </c>
      <c r="V37" s="4">
        <f t="shared" si="37"/>
        <v>0.52630607335824697</v>
      </c>
      <c r="W37" s="360">
        <f t="shared" si="10"/>
        <v>5.5399616570755289E-4</v>
      </c>
      <c r="X37" s="360">
        <f t="shared" si="38"/>
        <v>5.5399616570755289E-4</v>
      </c>
      <c r="Y37" s="4">
        <f t="shared" si="11"/>
        <v>0.98243159804876878</v>
      </c>
      <c r="Z37" s="360">
        <f t="shared" si="12"/>
        <v>9.6517184484465758E-4</v>
      </c>
      <c r="AA37" s="541">
        <f t="shared" si="39"/>
        <v>9.6517184484465758E-4</v>
      </c>
      <c r="AB37" s="360">
        <f t="shared" si="13"/>
        <v>1.1267748532671258</v>
      </c>
      <c r="AC37" s="360">
        <f t="shared" si="14"/>
        <v>7.6177294197309169E-3</v>
      </c>
      <c r="AD37" s="360">
        <f t="shared" si="15"/>
        <v>0.17767478941311857</v>
      </c>
      <c r="AE37" s="360">
        <f t="shared" si="16"/>
        <v>0.63444464999999983</v>
      </c>
      <c r="AF37" s="360">
        <f t="shared" si="17"/>
        <v>0</v>
      </c>
      <c r="AG37" s="360">
        <f t="shared" si="18"/>
        <v>0.82068743860936499</v>
      </c>
      <c r="AH37" s="360">
        <f t="shared" si="19"/>
        <v>2.006234411253736</v>
      </c>
      <c r="AI37" s="360">
        <f t="shared" si="20"/>
        <v>1.0062441282246561E-2</v>
      </c>
      <c r="AJ37" s="360">
        <f t="shared" si="21"/>
        <v>9.21984E-2</v>
      </c>
      <c r="AK37" s="360">
        <f t="shared" si="22"/>
        <v>0.10246705502716168</v>
      </c>
      <c r="AL37" s="360">
        <f t="shared" si="23"/>
        <v>9.21984E-2</v>
      </c>
      <c r="AM37" s="360">
        <f t="shared" si="24"/>
        <v>0.74088000000000009</v>
      </c>
      <c r="AN37" s="360">
        <f t="shared" si="25"/>
        <v>5.2945980828537763E-2</v>
      </c>
      <c r="AO37" s="360">
        <f t="shared" si="26"/>
        <v>7.3499999999999998E-4</v>
      </c>
      <c r="AP37" s="360">
        <f t="shared" si="27"/>
        <v>0.34650000000000003</v>
      </c>
      <c r="AQ37" s="360">
        <f t="shared" si="28"/>
        <v>1.3167</v>
      </c>
      <c r="AR37" s="360">
        <f t="shared" si="29"/>
        <v>1.1088</v>
      </c>
      <c r="AS37" s="360">
        <f t="shared" si="48"/>
        <v>0.34723500000000002</v>
      </c>
      <c r="AT37" s="360">
        <f t="shared" si="41"/>
        <v>2.5069147822174358</v>
      </c>
      <c r="AU37">
        <f t="shared" si="30"/>
        <v>11.200000000000001</v>
      </c>
      <c r="AV37" s="542">
        <f t="shared" si="42"/>
        <v>0.81710583146910909</v>
      </c>
      <c r="AW37" s="551">
        <f t="shared" si="31"/>
        <v>65.48341193046825</v>
      </c>
      <c r="AX37" s="551">
        <f t="shared" si="32"/>
        <v>13.184383291032146</v>
      </c>
      <c r="AY37" s="9"/>
      <c r="AZ37" s="4">
        <f t="shared" si="43"/>
        <v>81.710583146910906</v>
      </c>
      <c r="BA37" s="360">
        <f t="shared" si="33"/>
        <v>0.34898173974181934</v>
      </c>
      <c r="BB37" s="360">
        <f t="shared" si="44"/>
        <v>1.6640344936365268</v>
      </c>
      <c r="BC37" s="360">
        <f t="shared" si="45"/>
        <v>1.309668238609365</v>
      </c>
      <c r="BD37" s="360">
        <f t="shared" si="46"/>
        <v>0.34695745502716174</v>
      </c>
      <c r="BE37" s="360">
        <f t="shared" si="47"/>
        <v>5.2945980828537763E-2</v>
      </c>
    </row>
    <row r="38" spans="1:57" x14ac:dyDescent="0.2">
      <c r="A38" s="22" t="s">
        <v>79</v>
      </c>
      <c r="B38" s="5">
        <f>RdsonTopTc*1000000</f>
        <v>4000</v>
      </c>
      <c r="C38" s="440" t="s">
        <v>81</v>
      </c>
      <c r="D38" s="21" t="s">
        <v>109</v>
      </c>
      <c r="G38">
        <v>29</v>
      </c>
      <c r="H38" s="548">
        <f t="shared" si="0"/>
        <v>21</v>
      </c>
      <c r="I38" s="4">
        <f t="shared" si="1"/>
        <v>1</v>
      </c>
      <c r="J38" s="360">
        <f t="shared" si="34"/>
        <v>2.3199999999999998</v>
      </c>
      <c r="K38" s="4">
        <f t="shared" si="2"/>
        <v>0.61375661375661372</v>
      </c>
      <c r="L38" s="4"/>
      <c r="M38" s="360">
        <f t="shared" si="3"/>
        <v>0.23985633173892273</v>
      </c>
      <c r="N38" s="4">
        <f t="shared" si="4"/>
        <v>1.8235020511801185</v>
      </c>
      <c r="O38" s="4">
        <f t="shared" si="35"/>
        <v>3.231751025590059</v>
      </c>
      <c r="P38" s="4">
        <f t="shared" si="36"/>
        <v>1.4082489744099407</v>
      </c>
      <c r="Q38" s="4">
        <f t="shared" si="5"/>
        <v>0</v>
      </c>
      <c r="R38" s="4">
        <f t="shared" si="6"/>
        <v>2.3789696602145871</v>
      </c>
      <c r="S38" s="360">
        <f t="shared" si="7"/>
        <v>5.0935469797993571E-2</v>
      </c>
      <c r="T38" s="360">
        <f t="shared" si="8"/>
        <v>0.3</v>
      </c>
      <c r="U38" s="360">
        <f t="shared" si="9"/>
        <v>0.35237132571950275</v>
      </c>
      <c r="V38" s="4">
        <f t="shared" si="37"/>
        <v>0.52639970005833814</v>
      </c>
      <c r="W38" s="360">
        <f t="shared" si="10"/>
        <v>5.5419328844301678E-4</v>
      </c>
      <c r="X38" s="360">
        <f t="shared" si="38"/>
        <v>5.5419328844301678E-4</v>
      </c>
      <c r="Y38" s="4">
        <f t="shared" si="11"/>
        <v>1.0158096594683563</v>
      </c>
      <c r="Z38" s="360">
        <f t="shared" si="12"/>
        <v>1.031869264269218E-3</v>
      </c>
      <c r="AA38" s="541">
        <f t="shared" si="39"/>
        <v>1.031869264269218E-3</v>
      </c>
      <c r="AB38" s="360">
        <f t="shared" si="13"/>
        <v>1.1651034737617574</v>
      </c>
      <c r="AC38" s="360">
        <f t="shared" si="14"/>
        <v>8.1447966274302841E-3</v>
      </c>
      <c r="AD38" s="360">
        <f t="shared" si="15"/>
        <v>0.18402031760644419</v>
      </c>
      <c r="AE38" s="360">
        <f t="shared" si="16"/>
        <v>0.63444464999999983</v>
      </c>
      <c r="AF38" s="360">
        <f t="shared" si="17"/>
        <v>0</v>
      </c>
      <c r="AG38" s="360">
        <f t="shared" si="18"/>
        <v>0.82763438312119775</v>
      </c>
      <c r="AH38" s="360">
        <f t="shared" si="19"/>
        <v>2.0741336841317133</v>
      </c>
      <c r="AI38" s="360">
        <f t="shared" si="20"/>
        <v>1.0755076349124483E-2</v>
      </c>
      <c r="AJ38" s="360">
        <f t="shared" si="21"/>
        <v>9.5491199999999984E-2</v>
      </c>
      <c r="AK38" s="360">
        <f t="shared" si="22"/>
        <v>0.10647530635896188</v>
      </c>
      <c r="AL38" s="360">
        <f t="shared" si="23"/>
        <v>9.5491199999999984E-2</v>
      </c>
      <c r="AM38" s="360">
        <f t="shared" si="24"/>
        <v>0.76733999999999991</v>
      </c>
      <c r="AN38" s="360">
        <f t="shared" si="25"/>
        <v>5.6594966442215081E-2</v>
      </c>
      <c r="AO38" s="360">
        <f t="shared" si="26"/>
        <v>7.3499999999999998E-4</v>
      </c>
      <c r="AP38" s="360">
        <f t="shared" si="27"/>
        <v>0.34650000000000003</v>
      </c>
      <c r="AQ38" s="360">
        <f t="shared" si="28"/>
        <v>1.3167</v>
      </c>
      <c r="AR38" s="360">
        <f t="shared" si="29"/>
        <v>1.1088</v>
      </c>
      <c r="AS38" s="360">
        <f t="shared" si="48"/>
        <v>0.34723500000000002</v>
      </c>
      <c r="AT38" s="360">
        <f t="shared" si="41"/>
        <v>2.5547282441945898</v>
      </c>
      <c r="AU38">
        <f t="shared" si="30"/>
        <v>11.6</v>
      </c>
      <c r="AV38" s="542">
        <f t="shared" si="42"/>
        <v>0.81951414395805267</v>
      </c>
      <c r="AW38" s="551">
        <f t="shared" si="31"/>
        <v>66.703939156059889</v>
      </c>
      <c r="AX38" s="551">
        <f t="shared" si="32"/>
        <v>13.668505241640553</v>
      </c>
      <c r="AY38" s="9"/>
      <c r="AZ38" s="4">
        <f t="shared" si="43"/>
        <v>81.951414395805273</v>
      </c>
      <c r="BA38" s="360">
        <f t="shared" si="33"/>
        <v>0.35237132571950275</v>
      </c>
      <c r="BB38" s="360">
        <f t="shared" si="44"/>
        <v>1.7014496894801594</v>
      </c>
      <c r="BC38" s="360">
        <f t="shared" si="45"/>
        <v>1.3340787831211978</v>
      </c>
      <c r="BD38" s="360">
        <f t="shared" si="46"/>
        <v>0.35969750635896192</v>
      </c>
      <c r="BE38" s="360">
        <f t="shared" si="47"/>
        <v>5.6594966442215081E-2</v>
      </c>
    </row>
    <row r="39" spans="1:57" x14ac:dyDescent="0.2">
      <c r="A39" s="23" t="s">
        <v>70</v>
      </c>
      <c r="B39" s="5">
        <f>Qg_Q3*1000000000</f>
        <v>8</v>
      </c>
      <c r="C39" s="440" t="s">
        <v>65</v>
      </c>
      <c r="D39" s="21" t="s">
        <v>99</v>
      </c>
      <c r="G39">
        <v>30</v>
      </c>
      <c r="H39" s="548">
        <f t="shared" si="0"/>
        <v>21</v>
      </c>
      <c r="I39" s="4">
        <f t="shared" si="1"/>
        <v>1</v>
      </c>
      <c r="J39" s="360">
        <f t="shared" si="34"/>
        <v>2.4</v>
      </c>
      <c r="K39" s="4">
        <f t="shared" si="2"/>
        <v>0.63492063492063489</v>
      </c>
      <c r="L39" s="4"/>
      <c r="M39" s="360">
        <f t="shared" si="3"/>
        <v>0.23991701402767468</v>
      </c>
      <c r="N39" s="4">
        <f t="shared" si="4"/>
        <v>1.8238262913989514</v>
      </c>
      <c r="O39" s="4">
        <f t="shared" si="35"/>
        <v>3.3119131456994757</v>
      </c>
      <c r="P39" s="4">
        <f t="shared" si="36"/>
        <v>1.4880868543005241</v>
      </c>
      <c r="Q39" s="4">
        <f t="shared" si="5"/>
        <v>0</v>
      </c>
      <c r="R39" s="4">
        <f t="shared" si="6"/>
        <v>2.4570704497632616</v>
      </c>
      <c r="S39" s="360">
        <f t="shared" si="7"/>
        <v>5.4334756755898522E-2</v>
      </c>
      <c r="T39" s="360">
        <f t="shared" si="8"/>
        <v>0.3</v>
      </c>
      <c r="U39" s="360">
        <f t="shared" si="9"/>
        <v>0.35588169638847006</v>
      </c>
      <c r="V39" s="4">
        <f t="shared" si="37"/>
        <v>0.52649330014715079</v>
      </c>
      <c r="W39" s="360">
        <f t="shared" si="10"/>
        <v>5.5439039019967561E-4</v>
      </c>
      <c r="X39" s="360">
        <f t="shared" si="38"/>
        <v>5.5439039019967561E-4</v>
      </c>
      <c r="Y39" s="4">
        <f t="shared" si="11"/>
        <v>1.0492491795103154</v>
      </c>
      <c r="Z39" s="360">
        <f t="shared" si="12"/>
        <v>1.1009238407030698E-3</v>
      </c>
      <c r="AA39" s="541">
        <f t="shared" si="39"/>
        <v>1.1009238407030698E-3</v>
      </c>
      <c r="AB39" s="360">
        <f t="shared" si="13"/>
        <v>1.2035056478100041</v>
      </c>
      <c r="AC39" s="360">
        <f t="shared" si="14"/>
        <v>8.6905550658634666E-3</v>
      </c>
      <c r="AD39" s="360">
        <f t="shared" si="15"/>
        <v>0.19036584579976984</v>
      </c>
      <c r="AE39" s="360">
        <f t="shared" si="16"/>
        <v>0.63444464999999983</v>
      </c>
      <c r="AF39" s="360">
        <f t="shared" si="17"/>
        <v>0</v>
      </c>
      <c r="AG39" s="360">
        <f t="shared" si="18"/>
        <v>0.83460353239501262</v>
      </c>
      <c r="AH39" s="360">
        <f t="shared" si="19"/>
        <v>2.1421413003789591</v>
      </c>
      <c r="AI39" s="360">
        <f t="shared" si="20"/>
        <v>1.1471923376973146E-2</v>
      </c>
      <c r="AJ39" s="360">
        <f t="shared" si="21"/>
        <v>9.8783999999999983E-2</v>
      </c>
      <c r="AK39" s="360">
        <f t="shared" si="22"/>
        <v>0.11050947462203183</v>
      </c>
      <c r="AL39" s="360">
        <f t="shared" si="23"/>
        <v>9.8783999999999983E-2</v>
      </c>
      <c r="AM39" s="360">
        <f t="shared" si="24"/>
        <v>0.79380000000000006</v>
      </c>
      <c r="AN39" s="360">
        <f t="shared" si="25"/>
        <v>6.0371951950998363E-2</v>
      </c>
      <c r="AO39" s="360">
        <f t="shared" si="26"/>
        <v>7.3499999999999998E-4</v>
      </c>
      <c r="AP39" s="360">
        <f t="shared" si="27"/>
        <v>0.34650000000000003</v>
      </c>
      <c r="AQ39" s="360">
        <f t="shared" si="28"/>
        <v>1.3167</v>
      </c>
      <c r="AR39" s="360">
        <f t="shared" si="29"/>
        <v>1.1088</v>
      </c>
      <c r="AS39" s="360">
        <f t="shared" si="48"/>
        <v>0.34723500000000002</v>
      </c>
      <c r="AT39" s="360">
        <f t="shared" si="41"/>
        <v>2.6028409695874157</v>
      </c>
      <c r="AU39">
        <f t="shared" si="30"/>
        <v>12</v>
      </c>
      <c r="AV39" s="542">
        <f t="shared" si="42"/>
        <v>0.82175790484822653</v>
      </c>
      <c r="AW39" s="551">
        <f t="shared" si="31"/>
        <v>67.925576619750629</v>
      </c>
      <c r="AX39" s="551">
        <f t="shared" si="32"/>
        <v>14.153612035637209</v>
      </c>
      <c r="AY39" s="9"/>
      <c r="AZ39" s="4">
        <f t="shared" si="43"/>
        <v>82.175790484822656</v>
      </c>
      <c r="BA39" s="360">
        <f t="shared" si="33"/>
        <v>0.35588169638847006</v>
      </c>
      <c r="BB39" s="360">
        <f t="shared" si="44"/>
        <v>1.7389130070170444</v>
      </c>
      <c r="BC39" s="360">
        <f t="shared" si="45"/>
        <v>1.3585115323950125</v>
      </c>
      <c r="BD39" s="360">
        <f t="shared" si="46"/>
        <v>0.37246347462203183</v>
      </c>
      <c r="BE39" s="360">
        <f t="shared" si="47"/>
        <v>6.0371951950998363E-2</v>
      </c>
    </row>
    <row r="40" spans="1:57" x14ac:dyDescent="0.2">
      <c r="A40" s="23" t="s">
        <v>120</v>
      </c>
      <c r="B40" s="5">
        <f>Qgd_Q3*1000000000</f>
        <v>1.4</v>
      </c>
      <c r="C40" s="440" t="s">
        <v>65</v>
      </c>
      <c r="D40" s="21" t="s">
        <v>121</v>
      </c>
      <c r="G40">
        <v>31</v>
      </c>
      <c r="H40" s="548">
        <f t="shared" si="0"/>
        <v>21</v>
      </c>
      <c r="I40" s="4">
        <f t="shared" si="1"/>
        <v>1</v>
      </c>
      <c r="J40" s="360">
        <f t="shared" si="34"/>
        <v>2.48</v>
      </c>
      <c r="K40" s="4">
        <f t="shared" si="2"/>
        <v>0.65608465608465605</v>
      </c>
      <c r="L40" s="4"/>
      <c r="M40" s="360">
        <f t="shared" si="3"/>
        <v>0.23997769331351362</v>
      </c>
      <c r="N40" s="4">
        <f t="shared" si="4"/>
        <v>1.8241504394404551</v>
      </c>
      <c r="O40" s="4">
        <f t="shared" si="35"/>
        <v>3.3920752197202275</v>
      </c>
      <c r="P40" s="4">
        <f t="shared" si="36"/>
        <v>1.5679247802797724</v>
      </c>
      <c r="Q40" s="4">
        <f t="shared" si="5"/>
        <v>0</v>
      </c>
      <c r="R40" s="4">
        <f t="shared" si="6"/>
        <v>2.5352896748647682</v>
      </c>
      <c r="S40" s="360">
        <f t="shared" si="7"/>
        <v>5.7849243619283112E-2</v>
      </c>
      <c r="T40" s="360">
        <f t="shared" si="8"/>
        <v>0.3</v>
      </c>
      <c r="U40" s="360">
        <f t="shared" si="9"/>
        <v>0.35951304825229574</v>
      </c>
      <c r="V40" s="4">
        <f t="shared" si="37"/>
        <v>0.52658687362666046</v>
      </c>
      <c r="W40" s="360">
        <f t="shared" si="10"/>
        <v>5.5458747095180093E-4</v>
      </c>
      <c r="X40" s="360">
        <f t="shared" si="38"/>
        <v>5.5458747095180093E-4</v>
      </c>
      <c r="Y40" s="4">
        <f t="shared" si="11"/>
        <v>1.0827450190451056</v>
      </c>
      <c r="Z40" s="360">
        <f t="shared" si="12"/>
        <v>1.1723367762669862E-3</v>
      </c>
      <c r="AA40" s="541">
        <f t="shared" si="39"/>
        <v>1.1723367762669862E-3</v>
      </c>
      <c r="AB40" s="360">
        <f t="shared" si="13"/>
        <v>1.2419754892771551</v>
      </c>
      <c r="AC40" s="360">
        <f t="shared" si="14"/>
        <v>9.2550186957913727E-3</v>
      </c>
      <c r="AD40" s="360">
        <f t="shared" si="15"/>
        <v>0.19671137399309552</v>
      </c>
      <c r="AE40" s="360">
        <f t="shared" si="16"/>
        <v>0.63444464999999983</v>
      </c>
      <c r="AF40" s="360">
        <f t="shared" si="17"/>
        <v>0</v>
      </c>
      <c r="AG40" s="360">
        <f t="shared" si="18"/>
        <v>0.84159496721657945</v>
      </c>
      <c r="AH40" s="360">
        <f t="shared" si="19"/>
        <v>2.2102467327225424</v>
      </c>
      <c r="AI40" s="360">
        <f t="shared" si="20"/>
        <v>1.2212976548776684E-2</v>
      </c>
      <c r="AJ40" s="360">
        <f t="shared" si="21"/>
        <v>0.10207679999999998</v>
      </c>
      <c r="AK40" s="360">
        <f t="shared" si="22"/>
        <v>0.11456962377444857</v>
      </c>
      <c r="AL40" s="360">
        <f t="shared" si="23"/>
        <v>0.10207679999999998</v>
      </c>
      <c r="AM40" s="360">
        <f t="shared" si="24"/>
        <v>0.82025999999999999</v>
      </c>
      <c r="AN40" s="360">
        <f t="shared" si="25"/>
        <v>6.427693735475902E-2</v>
      </c>
      <c r="AO40" s="360">
        <f t="shared" si="26"/>
        <v>7.3499999999999998E-4</v>
      </c>
      <c r="AP40" s="360">
        <f t="shared" si="27"/>
        <v>0.34650000000000003</v>
      </c>
      <c r="AQ40" s="360">
        <f t="shared" si="28"/>
        <v>1.3167</v>
      </c>
      <c r="AR40" s="360">
        <f t="shared" si="29"/>
        <v>1.1088</v>
      </c>
      <c r="AS40" s="360">
        <f t="shared" si="48"/>
        <v>0.34723500000000002</v>
      </c>
      <c r="AT40" s="360">
        <f t="shared" si="41"/>
        <v>2.6512533008453016</v>
      </c>
      <c r="AU40">
        <f t="shared" si="30"/>
        <v>12.4</v>
      </c>
      <c r="AV40" s="542">
        <f t="shared" si="42"/>
        <v>0.82385165887172984</v>
      </c>
      <c r="AW40" s="551">
        <f t="shared" si="31"/>
        <v>69.148328360828984</v>
      </c>
      <c r="AX40" s="551">
        <f t="shared" si="32"/>
        <v>14.639706103429047</v>
      </c>
      <c r="AY40" s="9"/>
      <c r="AZ40" s="4">
        <f t="shared" si="43"/>
        <v>82.385165887172988</v>
      </c>
      <c r="BA40" s="360">
        <f t="shared" si="33"/>
        <v>0.35951304825229574</v>
      </c>
      <c r="BB40" s="360">
        <f t="shared" si="44"/>
        <v>1.7764245909910281</v>
      </c>
      <c r="BC40" s="360">
        <f t="shared" si="45"/>
        <v>1.3829665672165796</v>
      </c>
      <c r="BD40" s="360">
        <f t="shared" si="46"/>
        <v>0.3852554237744486</v>
      </c>
      <c r="BE40" s="360">
        <f t="shared" si="47"/>
        <v>6.427693735475902E-2</v>
      </c>
    </row>
    <row r="41" spans="1:57" x14ac:dyDescent="0.2">
      <c r="A41" s="23" t="s">
        <v>124</v>
      </c>
      <c r="B41" s="5">
        <f>Qgs_Q3*1000000000</f>
        <v>3.8000000000000003</v>
      </c>
      <c r="C41" s="440" t="s">
        <v>65</v>
      </c>
      <c r="D41" s="21"/>
      <c r="G41">
        <v>32</v>
      </c>
      <c r="H41" s="548">
        <f t="shared" si="0"/>
        <v>21</v>
      </c>
      <c r="I41" s="4">
        <f t="shared" ref="I41:I72" si="49">MODE</f>
        <v>1</v>
      </c>
      <c r="J41" s="360">
        <f t="shared" si="34"/>
        <v>2.56</v>
      </c>
      <c r="K41" s="4">
        <f t="shared" ref="K41:K72" si="50">Vout2*J41/(Vin*Efficiency)</f>
        <v>0.67724867724867721</v>
      </c>
      <c r="L41" s="4"/>
      <c r="M41" s="360">
        <f t="shared" ref="M41:M72" si="51">(Vout2+(Rdson4+Rs+Rdcr)*J41)/(Vin+(Rs+Rdson2-Rdson1)*J41)</f>
        <v>0.2400383695966625</v>
      </c>
      <c r="N41" s="4">
        <f t="shared" ref="N41:N72" si="52">(Vin-(Rdson3+Rdcr2)*J41-Vout2)*M41/(Fsw*Lo_2)</f>
        <v>1.8244744953114704</v>
      </c>
      <c r="O41" s="4">
        <f t="shared" si="35"/>
        <v>3.4722372476557353</v>
      </c>
      <c r="P41" s="4">
        <f t="shared" si="36"/>
        <v>1.6477627523442648</v>
      </c>
      <c r="Q41" s="4">
        <f t="shared" ref="Q41:Q72" si="53">IF(MIN(Vin, -P41/(Coss_Q3+Coss_Q4)*0.00000002)&lt;0, 0, MIN(Vin, -P41/(Coss_Q3+Coss_Q4)*0.00000002))</f>
        <v>0</v>
      </c>
      <c r="R41" s="4">
        <f t="shared" ref="R41:R72" si="54">SQRT(J41^2+(N41^2)/12)</f>
        <v>2.6136167020695358</v>
      </c>
      <c r="S41" s="360">
        <f t="shared" ref="S41:S72" si="55">R41^2*Rdcr2</f>
        <v>6.1478930388031525E-2</v>
      </c>
      <c r="T41" s="360">
        <f t="shared" ref="T41:T72" si="56">Core_Loss_Ch1</f>
        <v>0.3</v>
      </c>
      <c r="U41" s="360">
        <f t="shared" ref="U41:U72" si="57">(T41+S41*(1+Ltc*(Ta-25)))/(1-S41*Ltc*ThetaCa)</f>
        <v>0.36326558475583726</v>
      </c>
      <c r="V41" s="4">
        <f t="shared" si="37"/>
        <v>0.52668042049884212</v>
      </c>
      <c r="W41" s="360">
        <f t="shared" ref="W41:W72" si="58">Cout2_ESR*V41^2</f>
        <v>5.5478453067367428E-4</v>
      </c>
      <c r="X41" s="360">
        <f t="shared" si="38"/>
        <v>5.5478453067367428E-4</v>
      </c>
      <c r="Y41" s="4">
        <f t="shared" ref="Y41:Y72" si="59">SQRT(M41*(1-M41))*SQRT(J41^2+(N41^2)/12)</f>
        <v>1.116292646396118</v>
      </c>
      <c r="Z41" s="360">
        <f t="shared" si="12"/>
        <v>1.2461092723980488E-3</v>
      </c>
      <c r="AA41" s="541">
        <f t="shared" si="39"/>
        <v>1.2461092723980488E-3</v>
      </c>
      <c r="AB41" s="360">
        <f t="shared" ref="AB41:AB72" si="60">SQRT(M41)*SQRT(J41^2+(N41^2)/12)</f>
        <v>1.280507807902344</v>
      </c>
      <c r="AC41" s="360">
        <f t="shared" ref="AC41:AC72" si="61">Rdson3*AB41^2</f>
        <v>9.8382014765931985E-3</v>
      </c>
      <c r="AD41" s="360">
        <f t="shared" ref="AD41:AD72" si="62">(Vin*J41/2)*Fsw*(Tr_Ch2+Tf_Ch2)</f>
        <v>0.20305690218642117</v>
      </c>
      <c r="AE41" s="360">
        <f t="shared" ref="AE41:AE72" si="63">(0.5*Coss_Q3*(Vin-Q41)^2-0.5*Coss_Q4*(Vin-Q41)^2+(Qoss_Q4*(Vin-Q41)/Vin)*Vin)*Fsw</f>
        <v>0.63444464999999983</v>
      </c>
      <c r="AF41" s="360">
        <f t="shared" ref="AF41:AF72" si="64">IF(J41&gt;N41/2,0,ABS(J41-N41/2)*Vsd_Q3*Deadtime*Fsw)</f>
        <v>0</v>
      </c>
      <c r="AG41" s="360">
        <f t="shared" ref="AG41:AG72" si="65">(AF41+AE41+AD41+AC41*(1+RdsonTopTc*Ta-RdsonTopTc*25))/(1-AC41*RdsonTopTc*ThetaJA_Q2)</f>
        <v>0.84860876883749348</v>
      </c>
      <c r="AH41" s="360">
        <f t="shared" ref="AH41:AH72" si="66">SQRT((1-M41))*SQRT(J41^2+(N41^2)/12)</f>
        <v>2.2784406990830308</v>
      </c>
      <c r="AI41" s="360">
        <f t="shared" ref="AI41:AI72" si="67">Rdson4*AH41^2</f>
        <v>1.2978230048094926E-2</v>
      </c>
      <c r="AJ41" s="360">
        <f t="shared" ref="AJ41:AJ72" si="68">IF(J41&lt;N41/2,Deadtime*Fsw*IF(VfdSky_Q4&gt;0,0,Vsd_Q4)*(J41+N41/2),2*Deadtime*Fsw*IF(VfdSky_Q4&gt;0,0,Vsd_Q4)*J41)</f>
        <v>0.10536959999999999</v>
      </c>
      <c r="AK41" s="360">
        <f t="shared" ref="AK41:AK72" si="69">(AJ41+AI41*(1+RdsonBotTc*Ta-RdsonBotTc*25))/(1-AI41*RdsonBotTc*ThetaJA_Q3)</f>
        <v>0.11865581855003239</v>
      </c>
      <c r="AL41" s="360">
        <f t="shared" ref="AL41:AL72" si="70">2*Deadtime*Fsw*IF(VfdSky_Q4&gt;0,VfdSky_Q4,Vsd_Q4)*J41</f>
        <v>0.10536959999999999</v>
      </c>
      <c r="AM41" s="360">
        <f t="shared" ref="AM41:AM72" si="71">IF(QrrSky_Q4&gt;0,QrrSky_Q4,Qrr_Q4*J41/Iout2)*Fsw*Vin</f>
        <v>0.84672000000000003</v>
      </c>
      <c r="AN41" s="360">
        <f t="shared" ref="AN41:AN72" si="72">CHOOSE(SENSING_TYPE, Rs_Ch2*R41^2, 0)</f>
        <v>6.8309922653368368E-2</v>
      </c>
      <c r="AO41" s="360">
        <f t="shared" ref="AO41:AO72" si="73">Iq*Vin</f>
        <v>7.3499999999999998E-4</v>
      </c>
      <c r="AP41" s="360">
        <f t="shared" ref="AP41:AP72" si="74">IF(Ext_VCC=1,  (Qg_Q3+Qg_Q4)*Fsw*VCC, (Qg_Q3+Qg_Q4)*Fsw*Vin)</f>
        <v>0.34650000000000003</v>
      </c>
      <c r="AQ41" s="360">
        <f t="shared" ref="AQ41:AQ72" si="75">(Vin-VCC)*Fsw*(Qg_Q3+Qg_Q4)+(RdsonDRT+RdsonDRT2)*Fsw*Qg_Q3*VCC/(RdsonDRT+2*Rgate3+RdsonDRT2)+(RdsonDRB+RdsonDRB2)*Fsw*Qg_Q4*VCC/(RdsonDRB+2*Rgate4+RdsonDRB2)</f>
        <v>1.3167</v>
      </c>
      <c r="AR41" s="360">
        <f t="shared" ref="AR41:AR72" si="76">(Qg_Q3+Qg_Q4)*Fsw*(Vin-VCC)</f>
        <v>1.1088</v>
      </c>
      <c r="AS41" s="360">
        <f t="shared" si="48"/>
        <v>0.34723500000000002</v>
      </c>
      <c r="AT41" s="360">
        <f t="shared" si="41"/>
        <v>2.6999655885998033</v>
      </c>
      <c r="AU41">
        <f t="shared" ref="AU41:AU72" si="77">Vout2*J41</f>
        <v>12.8</v>
      </c>
      <c r="AV41" s="542">
        <f t="shared" si="42"/>
        <v>0.82580828498189551</v>
      </c>
      <c r="AW41" s="551">
        <f t="shared" ref="AW41:AW72" si="78">ThetaJA_Q1*BC41</f>
        <v>70.372198441874673</v>
      </c>
      <c r="AX41" s="551">
        <f t="shared" ref="AX41:AX72" si="79">ThetaJA_Q2*BD41</f>
        <v>15.126789904901232</v>
      </c>
      <c r="AY41" s="9"/>
      <c r="AZ41" s="4">
        <f t="shared" si="43"/>
        <v>82.580828498189547</v>
      </c>
      <c r="BA41" s="360">
        <f t="shared" ref="BA41:BA72" si="80">U41</f>
        <v>0.36326558475583726</v>
      </c>
      <c r="BB41" s="360">
        <f t="shared" si="44"/>
        <v>1.8139845873875258</v>
      </c>
      <c r="BC41" s="360">
        <f t="shared" si="45"/>
        <v>1.4074439688374936</v>
      </c>
      <c r="BD41" s="360">
        <f t="shared" si="46"/>
        <v>0.39807341855003242</v>
      </c>
      <c r="BE41" s="360">
        <f t="shared" si="47"/>
        <v>6.8309922653368368E-2</v>
      </c>
    </row>
    <row r="42" spans="1:57" x14ac:dyDescent="0.2">
      <c r="A42" s="23" t="s">
        <v>90</v>
      </c>
      <c r="B42" s="5">
        <f>Rgate3</f>
        <v>0.5</v>
      </c>
      <c r="C42" s="444" t="s">
        <v>116</v>
      </c>
      <c r="D42" s="21" t="s">
        <v>100</v>
      </c>
      <c r="G42">
        <v>33</v>
      </c>
      <c r="H42" s="548">
        <f t="shared" si="0"/>
        <v>21</v>
      </c>
      <c r="I42" s="4">
        <f t="shared" si="49"/>
        <v>1</v>
      </c>
      <c r="J42" s="360">
        <f t="shared" ref="J42:J73" si="81">Iout2*G42/100</f>
        <v>2.64</v>
      </c>
      <c r="K42" s="4">
        <f t="shared" si="50"/>
        <v>0.69841269841269837</v>
      </c>
      <c r="L42" s="4"/>
      <c r="M42" s="360">
        <f t="shared" si="51"/>
        <v>0.24009904287734402</v>
      </c>
      <c r="N42" s="4">
        <f t="shared" si="52"/>
        <v>1.8247984590188386</v>
      </c>
      <c r="O42" s="4">
        <f t="shared" si="35"/>
        <v>3.5523992295094193</v>
      </c>
      <c r="P42" s="4">
        <f t="shared" si="36"/>
        <v>1.7276007704905809</v>
      </c>
      <c r="Q42" s="4">
        <f t="shared" si="53"/>
        <v>0</v>
      </c>
      <c r="R42" s="4">
        <f t="shared" si="54"/>
        <v>2.6920421216373631</v>
      </c>
      <c r="S42" s="360">
        <f t="shared" si="55"/>
        <v>6.522381706202815E-2</v>
      </c>
      <c r="T42" s="360">
        <f t="shared" si="56"/>
        <v>0.3</v>
      </c>
      <c r="U42" s="360">
        <f t="shared" si="57"/>
        <v>0.36713951631389202</v>
      </c>
      <c r="V42" s="4">
        <f t="shared" si="37"/>
        <v>0.52677394076567041</v>
      </c>
      <c r="W42" s="360">
        <f t="shared" si="58"/>
        <v>5.5498156933958813E-4</v>
      </c>
      <c r="X42" s="360">
        <f t="shared" si="38"/>
        <v>5.5498156933958813E-4</v>
      </c>
      <c r="Y42" s="4">
        <f t="shared" si="59"/>
        <v>1.1498880510074936</v>
      </c>
      <c r="Z42" s="360">
        <f t="shared" si="12"/>
        <v>1.3222425298498122E-3</v>
      </c>
      <c r="AA42" s="541">
        <f t="shared" si="39"/>
        <v>1.3222425298498122E-3</v>
      </c>
      <c r="AB42" s="360">
        <f t="shared" si="60"/>
        <v>1.3190980104012127</v>
      </c>
      <c r="AC42" s="360">
        <f t="shared" si="61"/>
        <v>1.0440117366266627E-2</v>
      </c>
      <c r="AD42" s="360">
        <f t="shared" si="62"/>
        <v>0.20940243037974687</v>
      </c>
      <c r="AE42" s="360">
        <f t="shared" si="63"/>
        <v>0.63444464999999983</v>
      </c>
      <c r="AF42" s="360">
        <f t="shared" si="64"/>
        <v>0</v>
      </c>
      <c r="AG42" s="360">
        <f t="shared" si="65"/>
        <v>0.85564501897815615</v>
      </c>
      <c r="AH42" s="360">
        <f t="shared" si="66"/>
        <v>2.346714985596964</v>
      </c>
      <c r="AI42" s="360">
        <f t="shared" si="67"/>
        <v>1.3767678059063398E-2</v>
      </c>
      <c r="AJ42" s="360">
        <f t="shared" si="68"/>
        <v>0.10866239999999999</v>
      </c>
      <c r="AK42" s="360">
        <f t="shared" si="69"/>
        <v>0.12276812446176431</v>
      </c>
      <c r="AL42" s="360">
        <f t="shared" si="70"/>
        <v>0.10866239999999999</v>
      </c>
      <c r="AM42" s="360">
        <f t="shared" si="71"/>
        <v>0.87317999999999996</v>
      </c>
      <c r="AN42" s="360">
        <f t="shared" si="72"/>
        <v>7.2470907846697949E-2</v>
      </c>
      <c r="AO42" s="360">
        <f t="shared" si="73"/>
        <v>7.3499999999999998E-4</v>
      </c>
      <c r="AP42" s="360">
        <f t="shared" si="74"/>
        <v>0.34650000000000003</v>
      </c>
      <c r="AQ42" s="360">
        <f t="shared" si="75"/>
        <v>1.3167</v>
      </c>
      <c r="AR42" s="360">
        <f t="shared" si="76"/>
        <v>1.1088</v>
      </c>
      <c r="AS42" s="360">
        <f t="shared" si="48"/>
        <v>0.34723500000000002</v>
      </c>
      <c r="AT42" s="360">
        <f t="shared" si="41"/>
        <v>2.7489781916996998</v>
      </c>
      <c r="AU42">
        <f t="shared" si="77"/>
        <v>13.200000000000001</v>
      </c>
      <c r="AV42" s="542">
        <f t="shared" si="42"/>
        <v>0.82763922812745794</v>
      </c>
      <c r="AW42" s="551">
        <f t="shared" si="78"/>
        <v>71.597190948907809</v>
      </c>
      <c r="AX42" s="551">
        <f t="shared" si="79"/>
        <v>15.614865929547044</v>
      </c>
      <c r="AY42" s="9"/>
      <c r="AZ42" s="4">
        <f t="shared" si="43"/>
        <v>82.76392281274579</v>
      </c>
      <c r="BA42" s="360">
        <f t="shared" si="80"/>
        <v>0.36713951631389202</v>
      </c>
      <c r="BB42" s="360">
        <f t="shared" si="44"/>
        <v>1.8515931434399204</v>
      </c>
      <c r="BC42" s="360">
        <f t="shared" si="45"/>
        <v>1.4319438189781561</v>
      </c>
      <c r="BD42" s="360">
        <f t="shared" si="46"/>
        <v>0.41091752446176433</v>
      </c>
      <c r="BE42" s="360">
        <f t="shared" si="47"/>
        <v>7.2470907846697949E-2</v>
      </c>
    </row>
    <row r="43" spans="1:57" x14ac:dyDescent="0.2">
      <c r="A43" s="23" t="s">
        <v>69</v>
      </c>
      <c r="B43" s="5">
        <f>Gfs_Q3</f>
        <v>64</v>
      </c>
      <c r="C43" s="440" t="s">
        <v>66</v>
      </c>
      <c r="D43" s="21" t="s">
        <v>101</v>
      </c>
      <c r="G43">
        <v>34</v>
      </c>
      <c r="H43" s="548">
        <f t="shared" si="0"/>
        <v>21</v>
      </c>
      <c r="I43" s="4">
        <f t="shared" si="49"/>
        <v>1</v>
      </c>
      <c r="J43" s="360">
        <f t="shared" si="81"/>
        <v>2.72</v>
      </c>
      <c r="K43" s="4">
        <f t="shared" si="50"/>
        <v>0.71957671957671954</v>
      </c>
      <c r="L43" s="4"/>
      <c r="M43" s="360">
        <f t="shared" si="51"/>
        <v>0.24015971315578125</v>
      </c>
      <c r="N43" s="4">
        <f t="shared" si="52"/>
        <v>1.8251223305694018</v>
      </c>
      <c r="O43" s="4">
        <f t="shared" si="35"/>
        <v>3.632561165284701</v>
      </c>
      <c r="P43" s="4">
        <f t="shared" si="36"/>
        <v>1.8074388347152994</v>
      </c>
      <c r="Q43" s="4">
        <f t="shared" si="53"/>
        <v>0</v>
      </c>
      <c r="R43" s="4">
        <f t="shared" si="54"/>
        <v>2.7705575780809761</v>
      </c>
      <c r="S43" s="360">
        <f t="shared" si="55"/>
        <v>6.908390364115731E-2</v>
      </c>
      <c r="T43" s="360">
        <f t="shared" si="56"/>
        <v>0.3</v>
      </c>
      <c r="U43" s="360">
        <f t="shared" si="57"/>
        <v>0.37113506034087279</v>
      </c>
      <c r="V43" s="4">
        <f t="shared" si="37"/>
        <v>0.52686743442912065</v>
      </c>
      <c r="W43" s="360">
        <f t="shared" si="58"/>
        <v>5.5517858692384744E-4</v>
      </c>
      <c r="X43" s="360">
        <f t="shared" si="38"/>
        <v>5.5517858692384744E-4</v>
      </c>
      <c r="Y43" s="4">
        <f t="shared" si="59"/>
        <v>1.1835276712829552</v>
      </c>
      <c r="Z43" s="360">
        <f t="shared" si="12"/>
        <v>1.4007377486924548E-3</v>
      </c>
      <c r="AA43" s="541">
        <f t="shared" si="39"/>
        <v>1.4007377486924548E-3</v>
      </c>
      <c r="AB43" s="360">
        <f t="shared" si="60"/>
        <v>1.3577420178018591</v>
      </c>
      <c r="AC43" s="360">
        <f t="shared" si="61"/>
        <v>1.1060780321427984E-2</v>
      </c>
      <c r="AD43" s="360">
        <f t="shared" si="62"/>
        <v>0.21574795857307252</v>
      </c>
      <c r="AE43" s="360">
        <f t="shared" si="63"/>
        <v>0.63444464999999983</v>
      </c>
      <c r="AF43" s="360">
        <f t="shared" si="64"/>
        <v>0</v>
      </c>
      <c r="AG43" s="360">
        <f t="shared" si="65"/>
        <v>0.86270379983078349</v>
      </c>
      <c r="AH43" s="360">
        <f t="shared" si="66"/>
        <v>2.4150622986907111</v>
      </c>
      <c r="AI43" s="360">
        <f t="shared" si="67"/>
        <v>1.4581314766393155E-2</v>
      </c>
      <c r="AJ43" s="360">
        <f t="shared" si="68"/>
        <v>0.11195519999999999</v>
      </c>
      <c r="AK43" s="360">
        <f t="shared" si="69"/>
        <v>0.12690660780526192</v>
      </c>
      <c r="AL43" s="360">
        <f t="shared" si="70"/>
        <v>0.11195519999999999</v>
      </c>
      <c r="AM43" s="360">
        <f t="shared" si="71"/>
        <v>0.89964000000000011</v>
      </c>
      <c r="AN43" s="360">
        <f t="shared" si="72"/>
        <v>7.6759892934619253E-2</v>
      </c>
      <c r="AO43" s="360">
        <f t="shared" si="73"/>
        <v>7.3499999999999998E-4</v>
      </c>
      <c r="AP43" s="360">
        <f t="shared" si="74"/>
        <v>0.34650000000000003</v>
      </c>
      <c r="AQ43" s="360">
        <f t="shared" si="75"/>
        <v>1.3167</v>
      </c>
      <c r="AR43" s="360">
        <f t="shared" si="76"/>
        <v>1.1088</v>
      </c>
      <c r="AS43" s="360">
        <f t="shared" si="48"/>
        <v>0.34723500000000002</v>
      </c>
      <c r="AT43" s="360">
        <f t="shared" si="41"/>
        <v>2.7982914772471537</v>
      </c>
      <c r="AU43">
        <f t="shared" si="77"/>
        <v>13.600000000000001</v>
      </c>
      <c r="AV43" s="542">
        <f t="shared" si="42"/>
        <v>0.82935469337584222</v>
      </c>
      <c r="AW43" s="551">
        <f t="shared" si="78"/>
        <v>72.82330999153919</v>
      </c>
      <c r="AX43" s="551">
        <f t="shared" si="79"/>
        <v>16.103936696599956</v>
      </c>
      <c r="AY43" s="9"/>
      <c r="AZ43" s="4">
        <f t="shared" si="43"/>
        <v>82.935469337584223</v>
      </c>
      <c r="BA43" s="360">
        <f t="shared" si="80"/>
        <v>0.37113506034087279</v>
      </c>
      <c r="BB43" s="360">
        <f t="shared" si="44"/>
        <v>1.8892504076360455</v>
      </c>
      <c r="BC43" s="360">
        <f t="shared" si="45"/>
        <v>1.4564661998307837</v>
      </c>
      <c r="BD43" s="360">
        <f t="shared" si="46"/>
        <v>0.42378780780526198</v>
      </c>
      <c r="BE43" s="360">
        <f t="shared" si="47"/>
        <v>7.6759892934619253E-2</v>
      </c>
    </row>
    <row r="44" spans="1:57" x14ac:dyDescent="0.2">
      <c r="A44" s="23" t="s">
        <v>92</v>
      </c>
      <c r="B44" s="5">
        <f>Vth_Q3</f>
        <v>2.9</v>
      </c>
      <c r="C44" s="440" t="s">
        <v>0</v>
      </c>
      <c r="D44" s="21" t="s">
        <v>102</v>
      </c>
      <c r="G44">
        <v>35</v>
      </c>
      <c r="H44" s="548">
        <f t="shared" si="0"/>
        <v>21</v>
      </c>
      <c r="I44" s="4">
        <f t="shared" si="49"/>
        <v>1</v>
      </c>
      <c r="J44" s="360">
        <f t="shared" si="81"/>
        <v>2.8</v>
      </c>
      <c r="K44" s="4">
        <f t="shared" si="50"/>
        <v>0.7407407407407407</v>
      </c>
      <c r="L44" s="4"/>
      <c r="M44" s="360">
        <f t="shared" si="51"/>
        <v>0.24022038043219687</v>
      </c>
      <c r="N44" s="4">
        <f t="shared" si="52"/>
        <v>1.8254461099699986</v>
      </c>
      <c r="O44" s="4">
        <f t="shared" si="35"/>
        <v>3.7127230549849992</v>
      </c>
      <c r="P44" s="4">
        <f t="shared" si="36"/>
        <v>1.8872769450150004</v>
      </c>
      <c r="Q44" s="4">
        <f t="shared" si="53"/>
        <v>0</v>
      </c>
      <c r="R44" s="4">
        <f t="shared" si="54"/>
        <v>2.8491556278484302</v>
      </c>
      <c r="S44" s="360">
        <f t="shared" si="55"/>
        <v>7.3059190125303444E-2</v>
      </c>
      <c r="T44" s="360">
        <f t="shared" si="56"/>
        <v>0.3</v>
      </c>
      <c r="U44" s="360">
        <f t="shared" si="57"/>
        <v>0.37525244128150903</v>
      </c>
      <c r="V44" s="4">
        <f t="shared" si="37"/>
        <v>0.52696090149116692</v>
      </c>
      <c r="W44" s="360">
        <f t="shared" si="58"/>
        <v>5.553755834007667E-4</v>
      </c>
      <c r="X44" s="360">
        <f t="shared" si="38"/>
        <v>5.553755834007667E-4</v>
      </c>
      <c r="Y44" s="4">
        <f t="shared" si="59"/>
        <v>1.2172083339810533</v>
      </c>
      <c r="Z44" s="360">
        <f t="shared" si="12"/>
        <v>1.4815961283129316E-3</v>
      </c>
      <c r="AA44" s="541">
        <f t="shared" si="39"/>
        <v>1.4815961283129316E-3</v>
      </c>
      <c r="AB44" s="360">
        <f t="shared" si="60"/>
        <v>1.3964361960190181</v>
      </c>
      <c r="AC44" s="360">
        <f t="shared" si="61"/>
        <v>1.1700204297312394E-2</v>
      </c>
      <c r="AD44" s="360">
        <f t="shared" si="62"/>
        <v>0.22209348676639817</v>
      </c>
      <c r="AE44" s="360">
        <f t="shared" si="63"/>
        <v>0.63444464999999983</v>
      </c>
      <c r="AF44" s="360">
        <f t="shared" si="64"/>
        <v>0</v>
      </c>
      <c r="AG44" s="360">
        <f t="shared" si="65"/>
        <v>0.86978519406243726</v>
      </c>
      <c r="AH44" s="360">
        <f t="shared" si="66"/>
        <v>2.4834761408453914</v>
      </c>
      <c r="AI44" s="360">
        <f t="shared" si="67"/>
        <v>1.5419134355370796E-2</v>
      </c>
      <c r="AJ44" s="360">
        <f t="shared" si="68"/>
        <v>0.11524799999999998</v>
      </c>
      <c r="AK44" s="360">
        <f t="shared" si="69"/>
        <v>0.1310713356623138</v>
      </c>
      <c r="AL44" s="360">
        <f t="shared" si="70"/>
        <v>0.11524799999999998</v>
      </c>
      <c r="AM44" s="360">
        <f t="shared" si="71"/>
        <v>0.92609999999999981</v>
      </c>
      <c r="AN44" s="360">
        <f t="shared" si="72"/>
        <v>8.1176877917003842E-2</v>
      </c>
      <c r="AO44" s="360">
        <f t="shared" si="73"/>
        <v>7.3499999999999998E-4</v>
      </c>
      <c r="AP44" s="360">
        <f t="shared" si="74"/>
        <v>0.34650000000000003</v>
      </c>
      <c r="AQ44" s="360">
        <f t="shared" si="75"/>
        <v>1.3167</v>
      </c>
      <c r="AR44" s="360">
        <f t="shared" si="76"/>
        <v>1.1088</v>
      </c>
      <c r="AS44" s="360">
        <f t="shared" si="48"/>
        <v>0.34723500000000002</v>
      </c>
      <c r="AT44" s="360">
        <f t="shared" si="41"/>
        <v>2.8479058206349772</v>
      </c>
      <c r="AU44">
        <f t="shared" si="77"/>
        <v>14</v>
      </c>
      <c r="AV44" s="542">
        <f t="shared" si="42"/>
        <v>0.83096380933309111</v>
      </c>
      <c r="AW44" s="551">
        <f t="shared" si="78"/>
        <v>74.050559703121863</v>
      </c>
      <c r="AX44" s="551">
        <f t="shared" si="79"/>
        <v>16.594004755167923</v>
      </c>
      <c r="AY44" s="9"/>
      <c r="AZ44" s="4">
        <f t="shared" si="43"/>
        <v>83.096380933309106</v>
      </c>
      <c r="BA44" s="360">
        <f t="shared" si="80"/>
        <v>0.37525244128150903</v>
      </c>
      <c r="BB44" s="360">
        <f t="shared" si="44"/>
        <v>1.9269565297247508</v>
      </c>
      <c r="BC44" s="360">
        <f t="shared" si="45"/>
        <v>1.4810111940624373</v>
      </c>
      <c r="BD44" s="360">
        <f t="shared" si="46"/>
        <v>0.43668433566231379</v>
      </c>
      <c r="BE44" s="360">
        <f t="shared" si="47"/>
        <v>8.1176877917003842E-2</v>
      </c>
    </row>
    <row r="45" spans="1:57" x14ac:dyDescent="0.2">
      <c r="A45" s="28" t="s">
        <v>123</v>
      </c>
      <c r="B45" s="447">
        <f>Vsp_Q3</f>
        <v>3.0249999999999999</v>
      </c>
      <c r="C45" s="445" t="s">
        <v>0</v>
      </c>
      <c r="G45">
        <v>36</v>
      </c>
      <c r="H45" s="548">
        <f t="shared" si="0"/>
        <v>21</v>
      </c>
      <c r="I45" s="4">
        <f t="shared" si="49"/>
        <v>1</v>
      </c>
      <c r="J45" s="360">
        <f t="shared" si="81"/>
        <v>2.88</v>
      </c>
      <c r="K45" s="4">
        <f t="shared" si="50"/>
        <v>0.76190476190476175</v>
      </c>
      <c r="L45" s="4"/>
      <c r="M45" s="360">
        <f t="shared" si="51"/>
        <v>0.24028104470681375</v>
      </c>
      <c r="N45" s="4">
        <f t="shared" si="52"/>
        <v>1.8257697972274693</v>
      </c>
      <c r="O45" s="4">
        <f t="shared" si="35"/>
        <v>3.7928848986137345</v>
      </c>
      <c r="P45" s="4">
        <f t="shared" si="36"/>
        <v>1.9671151013862653</v>
      </c>
      <c r="Q45" s="4">
        <f t="shared" si="53"/>
        <v>0</v>
      </c>
      <c r="R45" s="4">
        <f t="shared" si="54"/>
        <v>2.9278296192525164</v>
      </c>
      <c r="S45" s="360">
        <f t="shared" si="55"/>
        <v>7.7149676514351007E-2</v>
      </c>
      <c r="T45" s="360">
        <f t="shared" si="56"/>
        <v>0.3</v>
      </c>
      <c r="U45" s="360">
        <f t="shared" si="57"/>
        <v>0.3794918906425826</v>
      </c>
      <c r="V45" s="4">
        <f t="shared" si="37"/>
        <v>0.52705434195378398</v>
      </c>
      <c r="W45" s="360">
        <f t="shared" si="58"/>
        <v>5.5557255874467255E-4</v>
      </c>
      <c r="X45" s="360">
        <f t="shared" si="38"/>
        <v>5.5557255874467255E-4</v>
      </c>
      <c r="Y45" s="4">
        <f t="shared" si="59"/>
        <v>1.2509272030838285</v>
      </c>
      <c r="Z45" s="360">
        <f t="shared" si="12"/>
        <v>1.5648188674151301E-3</v>
      </c>
      <c r="AA45" s="541">
        <f t="shared" si="39"/>
        <v>1.5648188674151301E-3</v>
      </c>
      <c r="AB45" s="360">
        <f t="shared" si="60"/>
        <v>1.4351772972803742</v>
      </c>
      <c r="AC45" s="360">
        <f t="shared" si="61"/>
        <v>1.2358403247773998E-2</v>
      </c>
      <c r="AD45" s="360">
        <f t="shared" si="62"/>
        <v>0.22843901495972382</v>
      </c>
      <c r="AE45" s="360">
        <f t="shared" si="63"/>
        <v>0.63444464999999983</v>
      </c>
      <c r="AF45" s="360">
        <f t="shared" si="64"/>
        <v>0</v>
      </c>
      <c r="AG45" s="360">
        <f t="shared" si="65"/>
        <v>0.8768892848180837</v>
      </c>
      <c r="AH45" s="360">
        <f t="shared" si="66"/>
        <v>2.5519507057824091</v>
      </c>
      <c r="AI45" s="360">
        <f t="shared" si="67"/>
        <v>1.6281131011858341E-2</v>
      </c>
      <c r="AJ45" s="360">
        <f t="shared" si="68"/>
        <v>0.11854079999999999</v>
      </c>
      <c r="AK45" s="360">
        <f t="shared" si="69"/>
        <v>0.13526237590447351</v>
      </c>
      <c r="AL45" s="360">
        <f t="shared" si="70"/>
        <v>0.11854079999999999</v>
      </c>
      <c r="AM45" s="360">
        <f t="shared" si="71"/>
        <v>0.95255999999999996</v>
      </c>
      <c r="AN45" s="360">
        <f t="shared" si="72"/>
        <v>8.5721862793723361E-2</v>
      </c>
      <c r="AO45" s="360">
        <f t="shared" si="73"/>
        <v>7.3499999999999998E-4</v>
      </c>
      <c r="AP45" s="360">
        <f t="shared" si="74"/>
        <v>0.34650000000000003</v>
      </c>
      <c r="AQ45" s="360">
        <f t="shared" si="75"/>
        <v>1.3167</v>
      </c>
      <c r="AR45" s="360">
        <f t="shared" si="76"/>
        <v>1.1088</v>
      </c>
      <c r="AS45" s="360">
        <f t="shared" si="48"/>
        <v>0.34723500000000002</v>
      </c>
      <c r="AT45" s="360">
        <f t="shared" si="41"/>
        <v>2.897821605585023</v>
      </c>
      <c r="AU45">
        <f t="shared" si="77"/>
        <v>14.399999999999999</v>
      </c>
      <c r="AV45" s="542">
        <f t="shared" si="42"/>
        <v>0.83247476638044471</v>
      </c>
      <c r="AW45" s="551">
        <f t="shared" si="78"/>
        <v>75.278944240904181</v>
      </c>
      <c r="AX45" s="551">
        <f t="shared" si="79"/>
        <v>17.085072684369994</v>
      </c>
      <c r="AY45" s="9"/>
      <c r="AZ45" s="4">
        <f t="shared" si="43"/>
        <v>83.247476638044475</v>
      </c>
      <c r="BA45" s="360">
        <f t="shared" si="80"/>
        <v>0.3794918906425826</v>
      </c>
      <c r="BB45" s="360">
        <f t="shared" si="44"/>
        <v>1.964711660722557</v>
      </c>
      <c r="BC45" s="360">
        <f t="shared" si="45"/>
        <v>1.5055788848180836</v>
      </c>
      <c r="BD45" s="360">
        <f t="shared" si="46"/>
        <v>0.44960717590447352</v>
      </c>
      <c r="BE45" s="360">
        <f t="shared" si="47"/>
        <v>8.5721862793723361E-2</v>
      </c>
    </row>
    <row r="46" spans="1:57" x14ac:dyDescent="0.2">
      <c r="A46" s="77" t="s">
        <v>203</v>
      </c>
      <c r="B46" s="5">
        <f>Vsd_Q3</f>
        <v>0.7</v>
      </c>
      <c r="C46" s="445" t="s">
        <v>0</v>
      </c>
      <c r="G46">
        <v>37</v>
      </c>
      <c r="H46" s="548">
        <f t="shared" si="0"/>
        <v>21</v>
      </c>
      <c r="I46" s="4">
        <f t="shared" si="49"/>
        <v>1</v>
      </c>
      <c r="J46" s="360">
        <f t="shared" si="81"/>
        <v>2.96</v>
      </c>
      <c r="K46" s="4">
        <f t="shared" si="50"/>
        <v>0.78306878306878303</v>
      </c>
      <c r="L46" s="4"/>
      <c r="M46" s="360">
        <f t="shared" si="51"/>
        <v>0.24034170597985466</v>
      </c>
      <c r="N46" s="4">
        <f t="shared" si="52"/>
        <v>1.826093392348652</v>
      </c>
      <c r="O46" s="4">
        <f t="shared" si="35"/>
        <v>3.8730466961743257</v>
      </c>
      <c r="P46" s="4">
        <f t="shared" si="36"/>
        <v>2.0469533038256742</v>
      </c>
      <c r="Q46" s="4">
        <f t="shared" si="53"/>
        <v>0</v>
      </c>
      <c r="R46" s="4">
        <f t="shared" si="54"/>
        <v>3.0065735907283146</v>
      </c>
      <c r="S46" s="360">
        <f t="shared" si="55"/>
        <v>8.1355362808184548E-2</v>
      </c>
      <c r="T46" s="360">
        <f t="shared" si="56"/>
        <v>0.3</v>
      </c>
      <c r="U46" s="360">
        <f t="shared" si="57"/>
        <v>0.38385364702570623</v>
      </c>
      <c r="V46" s="4">
        <f t="shared" si="37"/>
        <v>0.52714775581894557</v>
      </c>
      <c r="W46" s="360">
        <f t="shared" si="58"/>
        <v>5.5576951292990126E-4</v>
      </c>
      <c r="X46" s="360">
        <f t="shared" si="38"/>
        <v>5.5576951292990126E-4</v>
      </c>
      <c r="Y46" s="4">
        <f t="shared" si="59"/>
        <v>1.2846817364701755</v>
      </c>
      <c r="Z46" s="360">
        <f t="shared" si="12"/>
        <v>1.6504071640200254E-3</v>
      </c>
      <c r="AA46" s="541">
        <f t="shared" si="39"/>
        <v>1.6504071640200254E-3</v>
      </c>
      <c r="AB46" s="360">
        <f t="shared" si="60"/>
        <v>1.4739624104934554</v>
      </c>
      <c r="AC46" s="360">
        <f t="shared" si="61"/>
        <v>1.3035391125286065E-2</v>
      </c>
      <c r="AD46" s="360">
        <f t="shared" si="62"/>
        <v>0.23478454315304947</v>
      </c>
      <c r="AE46" s="360">
        <f t="shared" si="63"/>
        <v>0.63444464999999983</v>
      </c>
      <c r="AF46" s="360">
        <f t="shared" si="64"/>
        <v>0</v>
      </c>
      <c r="AG46" s="360">
        <f t="shared" si="65"/>
        <v>0.88401615572367676</v>
      </c>
      <c r="AH46" s="360">
        <f t="shared" si="66"/>
        <v>2.6204807896485853</v>
      </c>
      <c r="AI46" s="360">
        <f t="shared" si="67"/>
        <v>1.7167298922293184E-2</v>
      </c>
      <c r="AJ46" s="360">
        <f t="shared" si="68"/>
        <v>0.12183359999999999</v>
      </c>
      <c r="AK46" s="360">
        <f t="shared" si="69"/>
        <v>0.13947979719671252</v>
      </c>
      <c r="AL46" s="360">
        <f t="shared" si="70"/>
        <v>0.12183359999999999</v>
      </c>
      <c r="AM46" s="360">
        <f t="shared" si="71"/>
        <v>0.97901999999999989</v>
      </c>
      <c r="AN46" s="360">
        <f t="shared" si="72"/>
        <v>9.0394847564649508E-2</v>
      </c>
      <c r="AO46" s="360">
        <f t="shared" si="73"/>
        <v>7.3499999999999998E-4</v>
      </c>
      <c r="AP46" s="360">
        <f t="shared" si="74"/>
        <v>0.34650000000000003</v>
      </c>
      <c r="AQ46" s="360">
        <f t="shared" si="75"/>
        <v>1.3167</v>
      </c>
      <c r="AR46" s="360">
        <f t="shared" si="76"/>
        <v>1.1088</v>
      </c>
      <c r="AS46" s="360">
        <f t="shared" si="48"/>
        <v>0.34723500000000002</v>
      </c>
      <c r="AT46" s="360">
        <f t="shared" si="41"/>
        <v>2.9480392241876947</v>
      </c>
      <c r="AU46">
        <f t="shared" si="77"/>
        <v>14.8</v>
      </c>
      <c r="AV46" s="542">
        <f t="shared" si="42"/>
        <v>0.83389493414179539</v>
      </c>
      <c r="AW46" s="551">
        <f t="shared" si="78"/>
        <v>76.508467786183829</v>
      </c>
      <c r="AX46" s="551">
        <f t="shared" si="79"/>
        <v>17.577143093475076</v>
      </c>
      <c r="AY46" s="9"/>
      <c r="AZ46" s="4">
        <f t="shared" si="43"/>
        <v>83.38949341417954</v>
      </c>
      <c r="BA46" s="360">
        <f t="shared" si="80"/>
        <v>0.38385364702570623</v>
      </c>
      <c r="BB46" s="360">
        <f t="shared" si="44"/>
        <v>2.0025159529203891</v>
      </c>
      <c r="BC46" s="360">
        <f t="shared" si="45"/>
        <v>1.5301693557236766</v>
      </c>
      <c r="BD46" s="360">
        <f t="shared" si="46"/>
        <v>0.46255639719671249</v>
      </c>
      <c r="BE46" s="360">
        <f t="shared" si="47"/>
        <v>9.0394847564649508E-2</v>
      </c>
    </row>
    <row r="47" spans="1:57" ht="15.75" x14ac:dyDescent="0.3">
      <c r="A47" s="446" t="s">
        <v>472</v>
      </c>
      <c r="B47" s="5">
        <f>ThetaJA_Q3</f>
        <v>50</v>
      </c>
      <c r="C47" s="441" t="s">
        <v>205</v>
      </c>
      <c r="D47" s="21" t="s">
        <v>103</v>
      </c>
      <c r="G47">
        <v>38</v>
      </c>
      <c r="H47" s="548">
        <f t="shared" si="0"/>
        <v>21</v>
      </c>
      <c r="I47" s="4">
        <f t="shared" si="49"/>
        <v>1</v>
      </c>
      <c r="J47" s="360">
        <f t="shared" si="81"/>
        <v>3.04</v>
      </c>
      <c r="K47" s="4">
        <f t="shared" si="50"/>
        <v>0.80423280423280408</v>
      </c>
      <c r="L47" s="4"/>
      <c r="M47" s="360">
        <f t="shared" si="51"/>
        <v>0.24040236425154235</v>
      </c>
      <c r="N47" s="4">
        <f t="shared" si="52"/>
        <v>1.8264168953403843</v>
      </c>
      <c r="O47" s="4">
        <f t="shared" si="35"/>
        <v>3.9532084476701921</v>
      </c>
      <c r="P47" s="4">
        <f t="shared" si="36"/>
        <v>2.126791552329808</v>
      </c>
      <c r="Q47" s="4">
        <f t="shared" si="53"/>
        <v>0</v>
      </c>
      <c r="R47" s="4">
        <f t="shared" si="54"/>
        <v>3.0853821842626568</v>
      </c>
      <c r="S47" s="360">
        <f t="shared" si="55"/>
        <v>8.5676249006688618E-2</v>
      </c>
      <c r="T47" s="360">
        <f t="shared" si="56"/>
        <v>0.3</v>
      </c>
      <c r="U47" s="360">
        <f t="shared" si="57"/>
        <v>0.38833795616115352</v>
      </c>
      <c r="V47" s="4">
        <f t="shared" si="37"/>
        <v>0.5272411430886258</v>
      </c>
      <c r="W47" s="360">
        <f t="shared" si="58"/>
        <v>5.5596644593080159E-4</v>
      </c>
      <c r="X47" s="360">
        <f t="shared" si="38"/>
        <v>5.5596644593080159E-4</v>
      </c>
      <c r="Y47" s="4">
        <f t="shared" si="59"/>
        <v>1.3184696490499253</v>
      </c>
      <c r="Z47" s="360">
        <f t="shared" si="12"/>
        <v>1.7383622154658331E-3</v>
      </c>
      <c r="AA47" s="541">
        <f t="shared" si="39"/>
        <v>1.7383622154658331E-3</v>
      </c>
      <c r="AB47" s="360">
        <f t="shared" si="60"/>
        <v>1.5127889190135548</v>
      </c>
      <c r="AC47" s="360">
        <f t="shared" si="61"/>
        <v>1.3731181880941199E-2</v>
      </c>
      <c r="AD47" s="360">
        <f t="shared" si="62"/>
        <v>0.24113007134637515</v>
      </c>
      <c r="AE47" s="360">
        <f t="shared" si="63"/>
        <v>0.63444464999999983</v>
      </c>
      <c r="AF47" s="360">
        <f t="shared" si="64"/>
        <v>0</v>
      </c>
      <c r="AG47" s="360">
        <f t="shared" si="65"/>
        <v>0.89116589088926768</v>
      </c>
      <c r="AH47" s="360">
        <f t="shared" si="66"/>
        <v>2.6890617154455945</v>
      </c>
      <c r="AI47" s="360">
        <f t="shared" si="67"/>
        <v>1.8077632273688009E-2</v>
      </c>
      <c r="AJ47" s="360">
        <f t="shared" si="68"/>
        <v>0.1251264</v>
      </c>
      <c r="AK47" s="360">
        <f t="shared" si="69"/>
        <v>0.14372366900113354</v>
      </c>
      <c r="AL47" s="360">
        <f t="shared" si="70"/>
        <v>0.1251264</v>
      </c>
      <c r="AM47" s="360">
        <f t="shared" si="71"/>
        <v>1.0054799999999999</v>
      </c>
      <c r="AN47" s="360">
        <f t="shared" si="72"/>
        <v>9.519583222965404E-2</v>
      </c>
      <c r="AO47" s="360">
        <f t="shared" si="73"/>
        <v>7.3499999999999998E-4</v>
      </c>
      <c r="AP47" s="360">
        <f t="shared" si="74"/>
        <v>0.34650000000000003</v>
      </c>
      <c r="AQ47" s="360">
        <f t="shared" si="75"/>
        <v>1.3167</v>
      </c>
      <c r="AR47" s="360">
        <f t="shared" si="76"/>
        <v>1.1088</v>
      </c>
      <c r="AS47" s="360">
        <f t="shared" si="48"/>
        <v>0.34723500000000002</v>
      </c>
      <c r="AT47" s="360">
        <f t="shared" si="41"/>
        <v>2.9985590769426054</v>
      </c>
      <c r="AU47">
        <f t="shared" si="77"/>
        <v>15.2</v>
      </c>
      <c r="AV47" s="542">
        <f t="shared" si="42"/>
        <v>0.83523096173357203</v>
      </c>
      <c r="AW47" s="551">
        <f t="shared" si="78"/>
        <v>77.739134544463383</v>
      </c>
      <c r="AX47" s="551">
        <f t="shared" si="79"/>
        <v>18.070218622043075</v>
      </c>
      <c r="AY47" s="9"/>
      <c r="AZ47" s="4">
        <f t="shared" si="43"/>
        <v>83.523096173357203</v>
      </c>
      <c r="BA47" s="360">
        <f t="shared" si="80"/>
        <v>0.38833795616115352</v>
      </c>
      <c r="BB47" s="360">
        <f t="shared" si="44"/>
        <v>2.0403695598904013</v>
      </c>
      <c r="BC47" s="360">
        <f t="shared" si="45"/>
        <v>1.5547826908892677</v>
      </c>
      <c r="BD47" s="360">
        <f t="shared" si="46"/>
        <v>0.47553206900113354</v>
      </c>
      <c r="BE47" s="360">
        <f t="shared" si="47"/>
        <v>9.519583222965404E-2</v>
      </c>
    </row>
    <row r="48" spans="1:57" x14ac:dyDescent="0.2">
      <c r="A48" s="24" t="s">
        <v>526</v>
      </c>
      <c r="B48" s="15" t="s">
        <v>111</v>
      </c>
      <c r="C48" s="24" t="s">
        <v>76</v>
      </c>
      <c r="D48" s="17" t="s">
        <v>107</v>
      </c>
      <c r="G48">
        <v>39</v>
      </c>
      <c r="H48" s="548">
        <f t="shared" si="0"/>
        <v>21</v>
      </c>
      <c r="I48" s="4">
        <f t="shared" si="49"/>
        <v>1</v>
      </c>
      <c r="J48" s="360">
        <f t="shared" si="81"/>
        <v>3.12</v>
      </c>
      <c r="K48" s="4">
        <f t="shared" si="50"/>
        <v>0.82539682539682535</v>
      </c>
      <c r="L48" s="4"/>
      <c r="M48" s="360">
        <f t="shared" si="51"/>
        <v>0.24046301952209961</v>
      </c>
      <c r="N48" s="4">
        <f t="shared" si="52"/>
        <v>1.8267403062095042</v>
      </c>
      <c r="O48" s="4">
        <f t="shared" si="35"/>
        <v>4.0333701531047526</v>
      </c>
      <c r="P48" s="4">
        <f t="shared" si="36"/>
        <v>2.2066298468952481</v>
      </c>
      <c r="Q48" s="4">
        <f t="shared" si="53"/>
        <v>0</v>
      </c>
      <c r="R48" s="4">
        <f t="shared" si="54"/>
        <v>3.164250571440395</v>
      </c>
      <c r="S48" s="360">
        <f t="shared" si="55"/>
        <v>9.0112335109747782E-2</v>
      </c>
      <c r="T48" s="360">
        <f t="shared" si="56"/>
        <v>0.3</v>
      </c>
      <c r="U48" s="360">
        <f t="shared" si="57"/>
        <v>0.39294507094274905</v>
      </c>
      <c r="V48" s="4">
        <f t="shared" si="37"/>
        <v>0.5273345037647984</v>
      </c>
      <c r="W48" s="360">
        <f t="shared" si="58"/>
        <v>5.5616335772173237E-4</v>
      </c>
      <c r="X48" s="360">
        <f t="shared" si="38"/>
        <v>5.5616335772173237E-4</v>
      </c>
      <c r="Y48" s="4">
        <f t="shared" si="59"/>
        <v>1.352288881270626</v>
      </c>
      <c r="Z48" s="360">
        <f t="shared" si="12"/>
        <v>1.8286852184081612E-3</v>
      </c>
      <c r="AA48" s="541">
        <f t="shared" si="39"/>
        <v>1.8286852184081612E-3</v>
      </c>
      <c r="AB48" s="360">
        <f t="shared" si="60"/>
        <v>1.5516544645663175</v>
      </c>
      <c r="AC48" s="360">
        <f t="shared" si="61"/>
        <v>1.4445789464451513E-2</v>
      </c>
      <c r="AD48" s="360">
        <f t="shared" si="62"/>
        <v>0.2474755995397008</v>
      </c>
      <c r="AE48" s="360">
        <f t="shared" si="63"/>
        <v>0.63444464999999983</v>
      </c>
      <c r="AF48" s="360">
        <f t="shared" si="64"/>
        <v>0</v>
      </c>
      <c r="AG48" s="360">
        <f t="shared" si="65"/>
        <v>0.89833857491214053</v>
      </c>
      <c r="AH48" s="360">
        <f t="shared" si="66"/>
        <v>2.7576892684732051</v>
      </c>
      <c r="AI48" s="360">
        <f t="shared" si="67"/>
        <v>1.9012125253630704E-2</v>
      </c>
      <c r="AJ48" s="360">
        <f t="shared" si="68"/>
        <v>0.12841919999999998</v>
      </c>
      <c r="AK48" s="360">
        <f t="shared" si="69"/>
        <v>0.14799406158074399</v>
      </c>
      <c r="AL48" s="360">
        <f t="shared" si="70"/>
        <v>0.12841919999999998</v>
      </c>
      <c r="AM48" s="360">
        <f t="shared" si="71"/>
        <v>1.0319399999999999</v>
      </c>
      <c r="AN48" s="360">
        <f t="shared" si="72"/>
        <v>0.10012481678860866</v>
      </c>
      <c r="AO48" s="360">
        <f t="shared" si="73"/>
        <v>7.3499999999999998E-4</v>
      </c>
      <c r="AP48" s="360">
        <f t="shared" si="74"/>
        <v>0.34650000000000003</v>
      </c>
      <c r="AQ48" s="360">
        <f t="shared" si="75"/>
        <v>1.3167</v>
      </c>
      <c r="AR48" s="360">
        <f t="shared" si="76"/>
        <v>1.1088</v>
      </c>
      <c r="AS48" s="360">
        <f t="shared" si="48"/>
        <v>0.34723500000000002</v>
      </c>
      <c r="AT48" s="360">
        <f t="shared" si="41"/>
        <v>3.0493815728003719</v>
      </c>
      <c r="AU48">
        <f t="shared" si="77"/>
        <v>15.600000000000001</v>
      </c>
      <c r="AV48" s="542">
        <f t="shared" si="42"/>
        <v>0.83648886367107134</v>
      </c>
      <c r="AW48" s="551">
        <f t="shared" si="78"/>
        <v>78.970948745607018</v>
      </c>
      <c r="AX48" s="551">
        <f t="shared" si="79"/>
        <v>18.564301940068273</v>
      </c>
      <c r="AY48" s="9"/>
      <c r="AZ48" s="4">
        <f t="shared" si="43"/>
        <v>83.648886367107139</v>
      </c>
      <c r="BA48" s="360">
        <f t="shared" si="80"/>
        <v>0.39294507094274905</v>
      </c>
      <c r="BB48" s="360">
        <f t="shared" si="44"/>
        <v>2.0782726364928843</v>
      </c>
      <c r="BC48" s="360">
        <f t="shared" si="45"/>
        <v>1.5794189749121403</v>
      </c>
      <c r="BD48" s="360">
        <f t="shared" si="46"/>
        <v>0.48853426158074398</v>
      </c>
      <c r="BE48" s="360">
        <f t="shared" si="47"/>
        <v>0.10012481678860866</v>
      </c>
    </row>
    <row r="49" spans="1:64" x14ac:dyDescent="0.2">
      <c r="A49" s="23" t="s">
        <v>68</v>
      </c>
      <c r="B49" s="5">
        <f>Rdson4*1000</f>
        <v>2.5</v>
      </c>
      <c r="C49" s="442" t="s">
        <v>466</v>
      </c>
      <c r="D49" s="440" t="s">
        <v>527</v>
      </c>
      <c r="G49">
        <v>40</v>
      </c>
      <c r="H49" s="548">
        <f t="shared" si="0"/>
        <v>21</v>
      </c>
      <c r="I49" s="4">
        <f t="shared" si="49"/>
        <v>1</v>
      </c>
      <c r="J49" s="360">
        <f t="shared" si="81"/>
        <v>3.2</v>
      </c>
      <c r="K49" s="4">
        <f t="shared" si="50"/>
        <v>0.84656084656084651</v>
      </c>
      <c r="L49" s="4"/>
      <c r="M49" s="360">
        <f t="shared" si="51"/>
        <v>0.24052367179174911</v>
      </c>
      <c r="N49" s="4">
        <f t="shared" si="52"/>
        <v>1.8270636249628485</v>
      </c>
      <c r="O49" s="4">
        <f t="shared" si="35"/>
        <v>4.1135318124814244</v>
      </c>
      <c r="P49" s="4">
        <f t="shared" si="36"/>
        <v>2.2864681875185759</v>
      </c>
      <c r="Q49" s="4">
        <f t="shared" si="53"/>
        <v>0</v>
      </c>
      <c r="R49" s="4">
        <f t="shared" si="54"/>
        <v>3.2431743900287775</v>
      </c>
      <c r="S49" s="360">
        <f t="shared" si="55"/>
        <v>9.4663621117246799E-2</v>
      </c>
      <c r="T49" s="360">
        <f t="shared" si="56"/>
        <v>0.3</v>
      </c>
      <c r="U49" s="360">
        <f t="shared" si="57"/>
        <v>0.39767525146382904</v>
      </c>
      <c r="V49" s="4">
        <f t="shared" si="37"/>
        <v>0.52742783784943703</v>
      </c>
      <c r="W49" s="360">
        <f t="shared" si="58"/>
        <v>5.5636024827706416E-4</v>
      </c>
      <c r="X49" s="360">
        <f t="shared" si="38"/>
        <v>5.5636024827706416E-4</v>
      </c>
      <c r="Y49" s="4">
        <f t="shared" si="59"/>
        <v>1.3861375721118632</v>
      </c>
      <c r="Z49" s="360">
        <f t="shared" si="12"/>
        <v>1.9213773688201707E-3</v>
      </c>
      <c r="AA49" s="541">
        <f t="shared" si="39"/>
        <v>1.9213773688201707E-3</v>
      </c>
      <c r="AB49" s="360">
        <f t="shared" si="60"/>
        <v>1.5905569163110118</v>
      </c>
      <c r="AC49" s="360">
        <f t="shared" si="61"/>
        <v>1.517922782414877E-2</v>
      </c>
      <c r="AD49" s="360">
        <f t="shared" si="62"/>
        <v>0.25382112773302645</v>
      </c>
      <c r="AE49" s="360">
        <f t="shared" si="63"/>
        <v>0.63444464999999983</v>
      </c>
      <c r="AF49" s="360">
        <f t="shared" si="64"/>
        <v>0</v>
      </c>
      <c r="AG49" s="360">
        <f t="shared" si="65"/>
        <v>0.90553429287997422</v>
      </c>
      <c r="AH49" s="360">
        <f t="shared" si="66"/>
        <v>2.8263596409717104</v>
      </c>
      <c r="AI49" s="360">
        <f t="shared" si="67"/>
        <v>1.997077205028434E-2</v>
      </c>
      <c r="AJ49" s="360">
        <f t="shared" si="68"/>
        <v>0.131712</v>
      </c>
      <c r="AK49" s="360">
        <f t="shared" si="69"/>
        <v>0.15229104600329055</v>
      </c>
      <c r="AL49" s="360">
        <f t="shared" si="70"/>
        <v>0.131712</v>
      </c>
      <c r="AM49" s="360">
        <f t="shared" si="71"/>
        <v>1.0584</v>
      </c>
      <c r="AN49" s="360">
        <f t="shared" si="72"/>
        <v>0.10518180124138533</v>
      </c>
      <c r="AO49" s="360">
        <f t="shared" si="73"/>
        <v>7.3499999999999998E-4</v>
      </c>
      <c r="AP49" s="360">
        <f t="shared" si="74"/>
        <v>0.34650000000000003</v>
      </c>
      <c r="AQ49" s="360">
        <f t="shared" si="75"/>
        <v>1.3167</v>
      </c>
      <c r="AR49" s="360">
        <f t="shared" si="76"/>
        <v>1.1088</v>
      </c>
      <c r="AS49" s="360">
        <f t="shared" si="48"/>
        <v>0.34723500000000002</v>
      </c>
      <c r="AT49" s="360">
        <f t="shared" si="41"/>
        <v>3.1005071292055759</v>
      </c>
      <c r="AU49">
        <f t="shared" si="77"/>
        <v>16</v>
      </c>
      <c r="AV49" s="542">
        <f t="shared" si="42"/>
        <v>0.83767409376975377</v>
      </c>
      <c r="AW49" s="551">
        <f t="shared" si="78"/>
        <v>80.203914643998715</v>
      </c>
      <c r="AX49" s="551">
        <f t="shared" si="79"/>
        <v>19.059395748125041</v>
      </c>
      <c r="AY49" s="9"/>
      <c r="AZ49" s="4">
        <f t="shared" si="43"/>
        <v>83.76740937697538</v>
      </c>
      <c r="BA49" s="360">
        <f t="shared" si="80"/>
        <v>0.39767525146382904</v>
      </c>
      <c r="BB49" s="360">
        <f t="shared" si="44"/>
        <v>2.1162253388832646</v>
      </c>
      <c r="BC49" s="360">
        <f t="shared" si="45"/>
        <v>1.6040782928799744</v>
      </c>
      <c r="BD49" s="360">
        <f t="shared" si="46"/>
        <v>0.5015630460032906</v>
      </c>
      <c r="BE49" s="360">
        <f t="shared" si="47"/>
        <v>0.10518180124138533</v>
      </c>
    </row>
    <row r="50" spans="1:64" x14ac:dyDescent="0.2">
      <c r="A50" s="23" t="s">
        <v>80</v>
      </c>
      <c r="B50" s="5">
        <f>RdsonBotTc*1000000</f>
        <v>4000</v>
      </c>
      <c r="C50" s="440" t="s">
        <v>81</v>
      </c>
      <c r="D50" s="21" t="s">
        <v>104</v>
      </c>
      <c r="G50">
        <v>41</v>
      </c>
      <c r="H50" s="548">
        <f t="shared" si="0"/>
        <v>21</v>
      </c>
      <c r="I50" s="4">
        <f t="shared" si="49"/>
        <v>1</v>
      </c>
      <c r="J50" s="360">
        <f t="shared" si="81"/>
        <v>3.28</v>
      </c>
      <c r="K50" s="4">
        <f t="shared" si="50"/>
        <v>0.86772486772486757</v>
      </c>
      <c r="L50" s="4"/>
      <c r="M50" s="360">
        <f t="shared" si="51"/>
        <v>0.24058432106071362</v>
      </c>
      <c r="N50" s="4">
        <f t="shared" si="52"/>
        <v>1.8273868516072527</v>
      </c>
      <c r="O50" s="4">
        <f t="shared" si="35"/>
        <v>4.1936934258036258</v>
      </c>
      <c r="P50" s="4">
        <f t="shared" si="36"/>
        <v>2.3663065741963734</v>
      </c>
      <c r="Q50" s="4">
        <f t="shared" si="53"/>
        <v>0</v>
      </c>
      <c r="R50" s="4">
        <f t="shared" si="54"/>
        <v>3.3221496894007632</v>
      </c>
      <c r="S50" s="360">
        <f t="shared" si="55"/>
        <v>9.9330107029070275E-2</v>
      </c>
      <c r="T50" s="360">
        <f t="shared" si="56"/>
        <v>0.3</v>
      </c>
      <c r="U50" s="360">
        <f t="shared" si="57"/>
        <v>0.40252876505427992</v>
      </c>
      <c r="V50" s="4">
        <f t="shared" si="37"/>
        <v>0.527521145344515</v>
      </c>
      <c r="W50" s="360">
        <f t="shared" si="58"/>
        <v>5.565571175711779E-4</v>
      </c>
      <c r="X50" s="360">
        <f t="shared" si="38"/>
        <v>5.565571175711779E-4</v>
      </c>
      <c r="Y50" s="4">
        <f t="shared" si="59"/>
        <v>1.4200140358435636</v>
      </c>
      <c r="Z50" s="360">
        <f t="shared" si="12"/>
        <v>2.0164398619927255E-3</v>
      </c>
      <c r="AA50" s="541">
        <f t="shared" si="39"/>
        <v>2.0164398619927255E-3</v>
      </c>
      <c r="AB50" s="360">
        <f t="shared" si="60"/>
        <v>1.6294943442156422</v>
      </c>
      <c r="AC50" s="360">
        <f t="shared" si="61"/>
        <v>1.5931510906984598E-2</v>
      </c>
      <c r="AD50" s="360">
        <f t="shared" si="62"/>
        <v>0.26016665592635213</v>
      </c>
      <c r="AE50" s="360">
        <f t="shared" si="63"/>
        <v>0.63444464999999983</v>
      </c>
      <c r="AF50" s="360">
        <f t="shared" si="64"/>
        <v>0</v>
      </c>
      <c r="AG50" s="360">
        <f t="shared" si="65"/>
        <v>0.91275313037403116</v>
      </c>
      <c r="AH50" s="360">
        <f t="shared" si="66"/>
        <v>2.8950693844802444</v>
      </c>
      <c r="AI50" s="360">
        <f t="shared" si="67"/>
        <v>2.0953566852387053E-2</v>
      </c>
      <c r="AJ50" s="360">
        <f t="shared" si="68"/>
        <v>0.13500479999999998</v>
      </c>
      <c r="AK50" s="360">
        <f t="shared" si="69"/>
        <v>0.15661469414515436</v>
      </c>
      <c r="AL50" s="360">
        <f t="shared" si="70"/>
        <v>0.13500479999999998</v>
      </c>
      <c r="AM50" s="360">
        <f t="shared" si="71"/>
        <v>1.0848599999999997</v>
      </c>
      <c r="AN50" s="360">
        <f t="shared" si="72"/>
        <v>0.11036678558785587</v>
      </c>
      <c r="AO50" s="360">
        <f t="shared" si="73"/>
        <v>7.3499999999999998E-4</v>
      </c>
      <c r="AP50" s="360">
        <f t="shared" si="74"/>
        <v>0.34650000000000003</v>
      </c>
      <c r="AQ50" s="360">
        <f t="shared" si="75"/>
        <v>1.3167</v>
      </c>
      <c r="AR50" s="360">
        <f t="shared" si="76"/>
        <v>1.1088</v>
      </c>
      <c r="AS50" s="360">
        <f t="shared" si="48"/>
        <v>0.34723500000000002</v>
      </c>
      <c r="AT50" s="360">
        <f t="shared" si="41"/>
        <v>3.1519361721408852</v>
      </c>
      <c r="AU50">
        <f t="shared" si="77"/>
        <v>16.399999999999999</v>
      </c>
      <c r="AV50" s="542">
        <f t="shared" si="42"/>
        <v>0.83879160895420635</v>
      </c>
      <c r="AW50" s="551">
        <f t="shared" si="78"/>
        <v>81.438036518701551</v>
      </c>
      <c r="AX50" s="551">
        <f t="shared" si="79"/>
        <v>19.555502777515862</v>
      </c>
      <c r="AY50" s="9"/>
      <c r="AZ50" s="4">
        <f t="shared" si="43"/>
        <v>83.87916089542064</v>
      </c>
      <c r="BA50" s="360">
        <f t="shared" si="80"/>
        <v>0.40252876505427992</v>
      </c>
      <c r="BB50" s="360">
        <f t="shared" si="44"/>
        <v>2.154227824519185</v>
      </c>
      <c r="BC50" s="360">
        <f t="shared" si="45"/>
        <v>1.628760730374031</v>
      </c>
      <c r="BD50" s="360">
        <f t="shared" si="46"/>
        <v>0.51461849414515426</v>
      </c>
      <c r="BE50" s="360">
        <f t="shared" si="47"/>
        <v>0.11036678558785587</v>
      </c>
    </row>
    <row r="51" spans="1:64" x14ac:dyDescent="0.2">
      <c r="A51" s="23" t="s">
        <v>67</v>
      </c>
      <c r="B51" s="5">
        <f>Qg_Q4*1000000000</f>
        <v>25</v>
      </c>
      <c r="C51" s="440" t="s">
        <v>65</v>
      </c>
      <c r="D51" s="21" t="s">
        <v>99</v>
      </c>
      <c r="G51">
        <v>42</v>
      </c>
      <c r="H51" s="548">
        <f t="shared" si="0"/>
        <v>21</v>
      </c>
      <c r="I51" s="4">
        <f t="shared" si="49"/>
        <v>1</v>
      </c>
      <c r="J51" s="360">
        <f t="shared" si="81"/>
        <v>3.36</v>
      </c>
      <c r="K51" s="4">
        <f t="shared" si="50"/>
        <v>0.88888888888888884</v>
      </c>
      <c r="L51" s="4"/>
      <c r="M51" s="360">
        <f t="shared" si="51"/>
        <v>0.2406449673292157</v>
      </c>
      <c r="N51" s="4">
        <f t="shared" si="52"/>
        <v>1.8277099861495518</v>
      </c>
      <c r="O51" s="4">
        <f t="shared" si="35"/>
        <v>4.2738549930747762</v>
      </c>
      <c r="P51" s="4">
        <f t="shared" si="36"/>
        <v>2.446145006925224</v>
      </c>
      <c r="Q51" s="4">
        <f t="shared" si="53"/>
        <v>0</v>
      </c>
      <c r="R51" s="4">
        <f t="shared" si="54"/>
        <v>3.401172883402023</v>
      </c>
      <c r="S51" s="360">
        <f t="shared" si="55"/>
        <v>0.10411179284510307</v>
      </c>
      <c r="T51" s="360">
        <f t="shared" si="56"/>
        <v>0.3</v>
      </c>
      <c r="U51" s="360">
        <f t="shared" si="57"/>
        <v>0.40750588631866863</v>
      </c>
      <c r="V51" s="4">
        <f t="shared" si="37"/>
        <v>0.5276144262520055</v>
      </c>
      <c r="W51" s="360">
        <f t="shared" si="58"/>
        <v>5.5675396557846593E-4</v>
      </c>
      <c r="X51" s="360">
        <f t="shared" si="38"/>
        <v>5.5675396557846593E-4</v>
      </c>
      <c r="Y51" s="4">
        <f t="shared" si="59"/>
        <v>1.4539167419541412</v>
      </c>
      <c r="Z51" s="360">
        <f t="shared" si="12"/>
        <v>2.113873892534545E-3</v>
      </c>
      <c r="AA51" s="541">
        <f t="shared" si="39"/>
        <v>2.113873892534545E-3</v>
      </c>
      <c r="AB51" s="360">
        <f t="shared" si="60"/>
        <v>1.6684649960632778</v>
      </c>
      <c r="AC51" s="360">
        <f t="shared" si="61"/>
        <v>1.6702652658530603E-2</v>
      </c>
      <c r="AD51" s="360">
        <f t="shared" si="62"/>
        <v>0.26651218411967781</v>
      </c>
      <c r="AE51" s="360">
        <f t="shared" si="63"/>
        <v>0.63444464999999983</v>
      </c>
      <c r="AF51" s="360">
        <f t="shared" si="64"/>
        <v>0</v>
      </c>
      <c r="AG51" s="360">
        <f t="shared" si="65"/>
        <v>0.91999517347237325</v>
      </c>
      <c r="AH51" s="360">
        <f t="shared" si="66"/>
        <v>2.9638153686929956</v>
      </c>
      <c r="AI51" s="360">
        <f t="shared" si="67"/>
        <v>2.1960503849251994E-2</v>
      </c>
      <c r="AJ51" s="360">
        <f t="shared" si="68"/>
        <v>0.13829759999999997</v>
      </c>
      <c r="AK51" s="360">
        <f t="shared" si="69"/>
        <v>0.16096507869530866</v>
      </c>
      <c r="AL51" s="360">
        <f t="shared" si="70"/>
        <v>0.13829759999999997</v>
      </c>
      <c r="AM51" s="360">
        <f t="shared" si="71"/>
        <v>1.1113199999999999</v>
      </c>
      <c r="AN51" s="360">
        <f t="shared" si="72"/>
        <v>0.11567976982789231</v>
      </c>
      <c r="AO51" s="360">
        <f t="shared" si="73"/>
        <v>7.3499999999999998E-4</v>
      </c>
      <c r="AP51" s="360">
        <f t="shared" si="74"/>
        <v>0.34650000000000003</v>
      </c>
      <c r="AQ51" s="360">
        <f t="shared" si="75"/>
        <v>1.3167</v>
      </c>
      <c r="AR51" s="360">
        <f t="shared" si="76"/>
        <v>1.1088</v>
      </c>
      <c r="AS51" s="360">
        <f t="shared" si="48"/>
        <v>0.34723500000000002</v>
      </c>
      <c r="AT51" s="360">
        <f t="shared" si="41"/>
        <v>3.2036691361723557</v>
      </c>
      <c r="AU51">
        <f t="shared" si="77"/>
        <v>16.8</v>
      </c>
      <c r="AV51" s="542">
        <f t="shared" si="42"/>
        <v>0.83984592454695206</v>
      </c>
      <c r="AW51" s="551">
        <f t="shared" si="78"/>
        <v>82.673318673618667</v>
      </c>
      <c r="AX51" s="551">
        <f t="shared" si="79"/>
        <v>20.052625790421729</v>
      </c>
      <c r="AY51" s="9"/>
      <c r="AZ51" s="4">
        <f t="shared" si="43"/>
        <v>83.984592454695203</v>
      </c>
      <c r="BA51" s="360">
        <f t="shared" si="80"/>
        <v>0.40750588631866863</v>
      </c>
      <c r="BB51" s="360">
        <f t="shared" si="44"/>
        <v>2.1922802521676816</v>
      </c>
      <c r="BC51" s="360">
        <f t="shared" si="45"/>
        <v>1.6534663734723734</v>
      </c>
      <c r="BD51" s="360">
        <f t="shared" si="46"/>
        <v>0.52770067869530868</v>
      </c>
      <c r="BE51" s="360">
        <f t="shared" si="47"/>
        <v>0.11567976982789231</v>
      </c>
    </row>
    <row r="52" spans="1:64" x14ac:dyDescent="0.2">
      <c r="A52" s="23" t="s">
        <v>91</v>
      </c>
      <c r="B52" s="5">
        <f>Rgate4</f>
        <v>0.5</v>
      </c>
      <c r="C52" s="444" t="s">
        <v>116</v>
      </c>
      <c r="D52" s="21" t="s">
        <v>100</v>
      </c>
      <c r="G52">
        <v>43</v>
      </c>
      <c r="H52" s="548">
        <f t="shared" si="0"/>
        <v>21</v>
      </c>
      <c r="I52" s="4">
        <f t="shared" si="49"/>
        <v>1</v>
      </c>
      <c r="J52" s="360">
        <f t="shared" si="81"/>
        <v>3.44</v>
      </c>
      <c r="K52" s="4">
        <f t="shared" si="50"/>
        <v>0.91005291005290989</v>
      </c>
      <c r="L52" s="4"/>
      <c r="M52" s="360">
        <f t="shared" si="51"/>
        <v>0.24070561059747814</v>
      </c>
      <c r="N52" s="4">
        <f t="shared" si="52"/>
        <v>1.8280330285965811</v>
      </c>
      <c r="O52" s="4">
        <f t="shared" si="35"/>
        <v>4.3540165142982907</v>
      </c>
      <c r="P52" s="4">
        <f t="shared" si="36"/>
        <v>2.5259834857017092</v>
      </c>
      <c r="Q52" s="4">
        <f t="shared" si="53"/>
        <v>0</v>
      </c>
      <c r="R52" s="4">
        <f t="shared" si="54"/>
        <v>3.4802407095108614</v>
      </c>
      <c r="S52" s="360">
        <f t="shared" si="55"/>
        <v>0.10900867856522997</v>
      </c>
      <c r="T52" s="360">
        <f t="shared" si="56"/>
        <v>0.3</v>
      </c>
      <c r="U52" s="360">
        <f t="shared" si="57"/>
        <v>0.41260689717546972</v>
      </c>
      <c r="V52" s="4">
        <f t="shared" si="37"/>
        <v>0.52770768057388151</v>
      </c>
      <c r="W52" s="360">
        <f t="shared" si="58"/>
        <v>5.5695079227333153E-4</v>
      </c>
      <c r="X52" s="360">
        <f t="shared" si="38"/>
        <v>5.5695079227333153E-4</v>
      </c>
      <c r="Y52" s="4">
        <f t="shared" si="59"/>
        <v>1.4878442977584589</v>
      </c>
      <c r="Z52" s="360">
        <f t="shared" si="12"/>
        <v>2.2136806543723618E-3</v>
      </c>
      <c r="AA52" s="541">
        <f t="shared" si="39"/>
        <v>2.2136806543723618E-3</v>
      </c>
      <c r="AB52" s="360">
        <f t="shared" si="60"/>
        <v>1.70746727752826</v>
      </c>
      <c r="AC52" s="360">
        <f t="shared" si="61"/>
        <v>1.7492667022978609E-2</v>
      </c>
      <c r="AD52" s="360">
        <f t="shared" si="62"/>
        <v>0.27285771231300343</v>
      </c>
      <c r="AE52" s="360">
        <f t="shared" si="63"/>
        <v>0.63444464999999983</v>
      </c>
      <c r="AF52" s="360">
        <f t="shared" si="64"/>
        <v>0</v>
      </c>
      <c r="AG52" s="360">
        <f t="shared" si="65"/>
        <v>0.92726050875310451</v>
      </c>
      <c r="AH52" s="360">
        <f t="shared" si="66"/>
        <v>3.0325947458087597</v>
      </c>
      <c r="AI52" s="360">
        <f t="shared" si="67"/>
        <v>2.2991577230767241E-2</v>
      </c>
      <c r="AJ52" s="360">
        <f t="shared" si="68"/>
        <v>0.14159039999999998</v>
      </c>
      <c r="AK52" s="360">
        <f t="shared" si="69"/>
        <v>0.16534227315933792</v>
      </c>
      <c r="AL52" s="360">
        <f t="shared" si="70"/>
        <v>0.14159039999999998</v>
      </c>
      <c r="AM52" s="360">
        <f t="shared" si="71"/>
        <v>1.1377799999999998</v>
      </c>
      <c r="AN52" s="360">
        <f t="shared" si="72"/>
        <v>0.12112075396136664</v>
      </c>
      <c r="AO52" s="360">
        <f t="shared" si="73"/>
        <v>7.3499999999999998E-4</v>
      </c>
      <c r="AP52" s="360">
        <f t="shared" si="74"/>
        <v>0.34650000000000003</v>
      </c>
      <c r="AQ52" s="360">
        <f t="shared" si="75"/>
        <v>1.3167</v>
      </c>
      <c r="AR52" s="360">
        <f t="shared" si="76"/>
        <v>1.1088</v>
      </c>
      <c r="AS52" s="360">
        <f t="shared" si="48"/>
        <v>0.34723500000000002</v>
      </c>
      <c r="AT52" s="360">
        <f t="shared" si="41"/>
        <v>3.2557064644959239</v>
      </c>
      <c r="AU52">
        <f t="shared" si="77"/>
        <v>17.2</v>
      </c>
      <c r="AV52" s="542">
        <f t="shared" si="42"/>
        <v>0.84084116233547301</v>
      </c>
      <c r="AW52" s="551">
        <f t="shared" si="78"/>
        <v>83.909765437655224</v>
      </c>
      <c r="AX52" s="551">
        <f t="shared" si="79"/>
        <v>20.550767580054842</v>
      </c>
      <c r="AY52" s="9"/>
      <c r="AZ52" s="4">
        <f t="shared" si="43"/>
        <v>84.084116233547306</v>
      </c>
      <c r="BA52" s="360">
        <f t="shared" si="80"/>
        <v>0.41260689717546972</v>
      </c>
      <c r="BB52" s="360">
        <f t="shared" si="44"/>
        <v>2.230382781912442</v>
      </c>
      <c r="BC52" s="360">
        <f t="shared" si="45"/>
        <v>1.6781953087531045</v>
      </c>
      <c r="BD52" s="360">
        <f t="shared" si="46"/>
        <v>0.54080967315933792</v>
      </c>
      <c r="BE52" s="360">
        <f t="shared" si="47"/>
        <v>0.12112075396136664</v>
      </c>
    </row>
    <row r="53" spans="1:64" x14ac:dyDescent="0.2">
      <c r="A53" s="23" t="s">
        <v>72</v>
      </c>
      <c r="B53" s="5">
        <f>Vsd_Q4</f>
        <v>0.7</v>
      </c>
      <c r="C53" s="440" t="s">
        <v>0</v>
      </c>
      <c r="D53" s="21" t="s">
        <v>105</v>
      </c>
      <c r="G53">
        <v>44</v>
      </c>
      <c r="H53" s="548">
        <f t="shared" si="0"/>
        <v>21</v>
      </c>
      <c r="I53" s="4">
        <f t="shared" si="49"/>
        <v>1</v>
      </c>
      <c r="J53" s="360">
        <f t="shared" si="81"/>
        <v>3.52</v>
      </c>
      <c r="K53" s="4">
        <f t="shared" si="50"/>
        <v>0.93121693121693117</v>
      </c>
      <c r="L53" s="4"/>
      <c r="M53" s="360">
        <f t="shared" si="51"/>
        <v>0.24076625086572345</v>
      </c>
      <c r="N53" s="4">
        <f t="shared" si="52"/>
        <v>1.8283559789551738</v>
      </c>
      <c r="O53" s="4">
        <f t="shared" si="35"/>
        <v>4.434177989477587</v>
      </c>
      <c r="P53" s="4">
        <f t="shared" si="36"/>
        <v>2.605822010522413</v>
      </c>
      <c r="Q53" s="4">
        <f t="shared" si="53"/>
        <v>0</v>
      </c>
      <c r="R53" s="4">
        <f t="shared" si="54"/>
        <v>3.559350193337977</v>
      </c>
      <c r="S53" s="360">
        <f t="shared" si="55"/>
        <v>0.11402076418933584</v>
      </c>
      <c r="T53" s="360">
        <f t="shared" si="56"/>
        <v>0.3</v>
      </c>
      <c r="U53" s="360">
        <f t="shared" si="57"/>
        <v>0.4178320868974052</v>
      </c>
      <c r="V53" s="4">
        <f t="shared" si="37"/>
        <v>0.52780090831211568</v>
      </c>
      <c r="W53" s="360">
        <f t="shared" si="58"/>
        <v>5.5714759763018874E-4</v>
      </c>
      <c r="X53" s="360">
        <f t="shared" si="38"/>
        <v>5.5714759763018874E-4</v>
      </c>
      <c r="Y53" s="4">
        <f t="shared" si="59"/>
        <v>1.5217954332797408</v>
      </c>
      <c r="Z53" s="360">
        <f t="shared" si="12"/>
        <v>2.3158613407510738E-3</v>
      </c>
      <c r="AA53" s="541">
        <f t="shared" si="39"/>
        <v>2.3158613407510738E-3</v>
      </c>
      <c r="AB53" s="360">
        <f t="shared" si="60"/>
        <v>1.7464997348573497</v>
      </c>
      <c r="AC53" s="360">
        <f t="shared" si="61"/>
        <v>1.8301567943140758E-2</v>
      </c>
      <c r="AD53" s="360">
        <f t="shared" si="62"/>
        <v>0.27920324050632911</v>
      </c>
      <c r="AE53" s="360">
        <f t="shared" si="63"/>
        <v>0.63444464999999983</v>
      </c>
      <c r="AF53" s="360">
        <f t="shared" si="64"/>
        <v>0</v>
      </c>
      <c r="AG53" s="360">
        <f t="shared" si="65"/>
        <v>0.93454922329764112</v>
      </c>
      <c r="AH53" s="360">
        <f t="shared" si="66"/>
        <v>3.1014049195418361</v>
      </c>
      <c r="AI53" s="360">
        <f t="shared" si="67"/>
        <v>2.4046781187395755E-2</v>
      </c>
      <c r="AJ53" s="360">
        <f t="shared" si="68"/>
        <v>0.14488319999999999</v>
      </c>
      <c r="AK53" s="360">
        <f t="shared" si="69"/>
        <v>0.16974635186351988</v>
      </c>
      <c r="AL53" s="360">
        <f t="shared" si="70"/>
        <v>0.14488319999999999</v>
      </c>
      <c r="AM53" s="360">
        <f t="shared" si="71"/>
        <v>1.1642399999999999</v>
      </c>
      <c r="AN53" s="360">
        <f t="shared" si="72"/>
        <v>0.12668973798815095</v>
      </c>
      <c r="AO53" s="360">
        <f t="shared" si="73"/>
        <v>7.3499999999999998E-4</v>
      </c>
      <c r="AP53" s="360">
        <f t="shared" si="74"/>
        <v>0.34650000000000003</v>
      </c>
      <c r="AQ53" s="360">
        <f t="shared" si="75"/>
        <v>1.3167</v>
      </c>
      <c r="AR53" s="360">
        <f t="shared" si="76"/>
        <v>1.1088</v>
      </c>
      <c r="AS53" s="360">
        <f t="shared" si="48"/>
        <v>0.34723500000000002</v>
      </c>
      <c r="AT53" s="360">
        <f t="shared" si="41"/>
        <v>3.3080486089850982</v>
      </c>
      <c r="AU53">
        <f t="shared" si="77"/>
        <v>17.600000000000001</v>
      </c>
      <c r="AV53" s="542">
        <f t="shared" si="42"/>
        <v>0.84178109249451982</v>
      </c>
      <c r="AW53" s="551">
        <f t="shared" si="78"/>
        <v>85.147381164882049</v>
      </c>
      <c r="AX53" s="551">
        <f t="shared" si="79"/>
        <v>21.049930970813755</v>
      </c>
      <c r="AY53" s="9"/>
      <c r="AZ53" s="4">
        <f t="shared" si="43"/>
        <v>84.178109249451978</v>
      </c>
      <c r="BA53" s="360">
        <f t="shared" si="80"/>
        <v>0.4178320868974052</v>
      </c>
      <c r="BB53" s="360">
        <f t="shared" si="44"/>
        <v>2.2685355751611609</v>
      </c>
      <c r="BC53" s="360">
        <f t="shared" si="45"/>
        <v>1.702947623297641</v>
      </c>
      <c r="BD53" s="360">
        <f t="shared" si="46"/>
        <v>0.5539455518635199</v>
      </c>
      <c r="BE53" s="360">
        <f t="shared" si="47"/>
        <v>0.12668973798815095</v>
      </c>
    </row>
    <row r="54" spans="1:64" x14ac:dyDescent="0.2">
      <c r="A54" s="23" t="s">
        <v>73</v>
      </c>
      <c r="B54" s="5">
        <f>Qrr_Q4*1000000000</f>
        <v>59.999999999999993</v>
      </c>
      <c r="C54" s="440" t="s">
        <v>65</v>
      </c>
      <c r="D54" s="21" t="s">
        <v>110</v>
      </c>
      <c r="G54">
        <v>45</v>
      </c>
      <c r="H54" s="548">
        <f t="shared" si="0"/>
        <v>21</v>
      </c>
      <c r="I54" s="4">
        <f t="shared" si="49"/>
        <v>1</v>
      </c>
      <c r="J54" s="360">
        <f t="shared" si="81"/>
        <v>3.6</v>
      </c>
      <c r="K54" s="4">
        <f t="shared" si="50"/>
        <v>0.95238095238095233</v>
      </c>
      <c r="L54" s="4"/>
      <c r="M54" s="360">
        <f t="shared" si="51"/>
        <v>0.2408268881341743</v>
      </c>
      <c r="N54" s="4">
        <f t="shared" si="52"/>
        <v>1.8286788372321636</v>
      </c>
      <c r="O54" s="4">
        <f t="shared" si="35"/>
        <v>4.5143394186160819</v>
      </c>
      <c r="P54" s="4">
        <f t="shared" si="36"/>
        <v>2.6856605813839183</v>
      </c>
      <c r="Q54" s="4">
        <f t="shared" si="53"/>
        <v>0</v>
      </c>
      <c r="R54" s="4">
        <f t="shared" si="54"/>
        <v>3.6384986176734673</v>
      </c>
      <c r="S54" s="360">
        <f t="shared" si="55"/>
        <v>0.11914804971730558</v>
      </c>
      <c r="T54" s="360">
        <f t="shared" si="56"/>
        <v>0.3</v>
      </c>
      <c r="U54" s="360">
        <f t="shared" si="57"/>
        <v>0.42318175215290321</v>
      </c>
      <c r="V54" s="4">
        <f t="shared" si="37"/>
        <v>0.52789410946868076</v>
      </c>
      <c r="W54" s="360">
        <f t="shared" si="58"/>
        <v>5.5734438162346306E-4</v>
      </c>
      <c r="X54" s="360">
        <f t="shared" si="38"/>
        <v>5.5734438162346306E-4</v>
      </c>
      <c r="Y54" s="4">
        <f t="shared" si="59"/>
        <v>1.5557689880679264</v>
      </c>
      <c r="Z54" s="360">
        <f t="shared" si="12"/>
        <v>2.4204171442338998E-3</v>
      </c>
      <c r="AA54" s="541">
        <f t="shared" si="39"/>
        <v>2.4204171442338998E-3</v>
      </c>
      <c r="AB54" s="360">
        <f t="shared" si="60"/>
        <v>1.7855610397691872</v>
      </c>
      <c r="AC54" s="360">
        <f t="shared" si="61"/>
        <v>1.9129369360449726E-2</v>
      </c>
      <c r="AD54" s="360">
        <f t="shared" si="62"/>
        <v>0.28554876869965484</v>
      </c>
      <c r="AE54" s="360">
        <f t="shared" si="63"/>
        <v>0.63444464999999983</v>
      </c>
      <c r="AF54" s="360">
        <f t="shared" si="64"/>
        <v>0</v>
      </c>
      <c r="AG54" s="360">
        <f t="shared" si="65"/>
        <v>0.94186140469400936</v>
      </c>
      <c r="AH54" s="360">
        <f t="shared" si="66"/>
        <v>3.1702435181023731</v>
      </c>
      <c r="AI54" s="360">
        <f t="shared" si="67"/>
        <v>2.512610991017528E-2</v>
      </c>
      <c r="AJ54" s="360">
        <f t="shared" si="68"/>
        <v>0.14817599999999997</v>
      </c>
      <c r="AK54" s="360">
        <f t="shared" si="69"/>
        <v>0.17417738995897056</v>
      </c>
      <c r="AL54" s="360">
        <f t="shared" si="70"/>
        <v>0.14817599999999997</v>
      </c>
      <c r="AM54" s="360">
        <f t="shared" si="71"/>
        <v>1.1906999999999999</v>
      </c>
      <c r="AN54" s="360">
        <f t="shared" si="72"/>
        <v>0.13238672190811732</v>
      </c>
      <c r="AO54" s="360">
        <f t="shared" si="73"/>
        <v>7.3499999999999998E-4</v>
      </c>
      <c r="AP54" s="360">
        <f t="shared" si="74"/>
        <v>0.34650000000000003</v>
      </c>
      <c r="AQ54" s="360">
        <f t="shared" si="75"/>
        <v>1.3167</v>
      </c>
      <c r="AR54" s="360">
        <f t="shared" si="76"/>
        <v>1.1088</v>
      </c>
      <c r="AS54" s="360">
        <f t="shared" si="48"/>
        <v>0.34723500000000002</v>
      </c>
      <c r="AT54" s="360">
        <f t="shared" si="41"/>
        <v>3.3606960302398576</v>
      </c>
      <c r="AU54">
        <f t="shared" si="77"/>
        <v>18</v>
      </c>
      <c r="AV54" s="542">
        <f t="shared" si="42"/>
        <v>0.84266917026101607</v>
      </c>
      <c r="AW54" s="551">
        <f t="shared" si="78"/>
        <v>86.386170234700472</v>
      </c>
      <c r="AX54" s="551">
        <f t="shared" si="79"/>
        <v>21.550118818440879</v>
      </c>
      <c r="AY54" s="9"/>
      <c r="AZ54" s="4">
        <f t="shared" si="43"/>
        <v>84.266917026101609</v>
      </c>
      <c r="BA54" s="360">
        <f t="shared" si="80"/>
        <v>0.42318175215290321</v>
      </c>
      <c r="BB54" s="360">
        <f t="shared" si="44"/>
        <v>2.30673879465298</v>
      </c>
      <c r="BC54" s="360">
        <f t="shared" si="45"/>
        <v>1.7277234046940093</v>
      </c>
      <c r="BD54" s="360">
        <f t="shared" si="46"/>
        <v>0.5671083899589705</v>
      </c>
      <c r="BE54" s="360">
        <f t="shared" si="47"/>
        <v>0.13238672190811732</v>
      </c>
    </row>
    <row r="55" spans="1:64" x14ac:dyDescent="0.2">
      <c r="A55" s="23" t="s">
        <v>74</v>
      </c>
      <c r="B55" s="5">
        <f>Trr_Q4*1000000000</f>
        <v>40</v>
      </c>
      <c r="C55" s="440" t="s">
        <v>75</v>
      </c>
      <c r="D55" s="76" t="s">
        <v>106</v>
      </c>
      <c r="G55">
        <v>46</v>
      </c>
      <c r="H55" s="548">
        <f t="shared" si="0"/>
        <v>21</v>
      </c>
      <c r="I55" s="4">
        <f t="shared" si="49"/>
        <v>1</v>
      </c>
      <c r="J55" s="360">
        <f t="shared" si="81"/>
        <v>3.68</v>
      </c>
      <c r="K55" s="4">
        <f t="shared" si="50"/>
        <v>0.9735449735449736</v>
      </c>
      <c r="L55" s="4"/>
      <c r="M55" s="360">
        <f t="shared" si="51"/>
        <v>0.24088752240305328</v>
      </c>
      <c r="N55" s="4">
        <f t="shared" si="52"/>
        <v>1.8290016034343828</v>
      </c>
      <c r="O55" s="4">
        <f t="shared" si="35"/>
        <v>4.5945008017171913</v>
      </c>
      <c r="P55" s="4">
        <f t="shared" si="36"/>
        <v>2.765499198282809</v>
      </c>
      <c r="Q55" s="4">
        <f t="shared" si="53"/>
        <v>0</v>
      </c>
      <c r="R55" s="4">
        <f t="shared" si="54"/>
        <v>3.7176834954193985</v>
      </c>
      <c r="S55" s="360">
        <f t="shared" si="55"/>
        <v>0.12439053514902416</v>
      </c>
      <c r="T55" s="360">
        <f t="shared" si="56"/>
        <v>0.3</v>
      </c>
      <c r="U55" s="360">
        <f t="shared" si="57"/>
        <v>0.42865619704869073</v>
      </c>
      <c r="V55" s="4">
        <f t="shared" si="37"/>
        <v>0.52798728404554907</v>
      </c>
      <c r="W55" s="360">
        <f t="shared" si="58"/>
        <v>5.5754114422759064E-4</v>
      </c>
      <c r="X55" s="360">
        <f t="shared" si="38"/>
        <v>5.5754114422759064E-4</v>
      </c>
      <c r="Y55" s="4">
        <f t="shared" si="59"/>
        <v>1.5897638996726937</v>
      </c>
      <c r="Z55" s="360">
        <f t="shared" si="12"/>
        <v>2.5273492567025307E-3</v>
      </c>
      <c r="AA55" s="541">
        <f t="shared" si="39"/>
        <v>2.5273492567025307E-3</v>
      </c>
      <c r="AB55" s="360">
        <f t="shared" si="60"/>
        <v>1.8246499762492758</v>
      </c>
      <c r="AC55" s="360">
        <f t="shared" si="61"/>
        <v>1.9976085214958899E-2</v>
      </c>
      <c r="AD55" s="360">
        <f t="shared" si="62"/>
        <v>0.29189429689298046</v>
      </c>
      <c r="AE55" s="360">
        <f t="shared" si="63"/>
        <v>0.63444464999999983</v>
      </c>
      <c r="AF55" s="360">
        <f t="shared" si="64"/>
        <v>0</v>
      </c>
      <c r="AG55" s="360">
        <f t="shared" si="65"/>
        <v>0.94919714104017172</v>
      </c>
      <c r="AH55" s="360">
        <f t="shared" si="66"/>
        <v>3.2391083705685602</v>
      </c>
      <c r="AI55" s="360">
        <f t="shared" si="67"/>
        <v>2.6229557590718284E-2</v>
      </c>
      <c r="AJ55" s="360">
        <f t="shared" si="68"/>
        <v>0.15146879999999999</v>
      </c>
      <c r="AK55" s="360">
        <f t="shared" si="69"/>
        <v>0.1786354634258529</v>
      </c>
      <c r="AL55" s="360">
        <f t="shared" si="70"/>
        <v>0.15146879999999999</v>
      </c>
      <c r="AM55" s="360">
        <f t="shared" si="71"/>
        <v>1.21716</v>
      </c>
      <c r="AN55" s="360">
        <f t="shared" si="72"/>
        <v>0.13821170572113797</v>
      </c>
      <c r="AO55" s="360">
        <f t="shared" si="73"/>
        <v>7.3499999999999998E-4</v>
      </c>
      <c r="AP55" s="360">
        <f t="shared" si="74"/>
        <v>0.34650000000000003</v>
      </c>
      <c r="AQ55" s="360">
        <f t="shared" si="75"/>
        <v>1.3167</v>
      </c>
      <c r="AR55" s="360">
        <f t="shared" si="76"/>
        <v>1.1088</v>
      </c>
      <c r="AS55" s="360">
        <f t="shared" si="48"/>
        <v>0.34723500000000002</v>
      </c>
      <c r="AT55" s="360">
        <f t="shared" si="41"/>
        <v>3.4136491976367833</v>
      </c>
      <c r="AU55">
        <f t="shared" si="77"/>
        <v>18.400000000000002</v>
      </c>
      <c r="AV55" s="542">
        <f t="shared" si="42"/>
        <v>0.84350856811217967</v>
      </c>
      <c r="AW55" s="551">
        <f t="shared" si="78"/>
        <v>87.626137052008588</v>
      </c>
      <c r="AX55" s="551">
        <f t="shared" si="79"/>
        <v>22.051334010182408</v>
      </c>
      <c r="AY55" s="9"/>
      <c r="AZ55" s="4">
        <f t="shared" si="43"/>
        <v>84.350856811217966</v>
      </c>
      <c r="BA55" s="360">
        <f t="shared" si="80"/>
        <v>0.42865619704869073</v>
      </c>
      <c r="BB55" s="360">
        <f t="shared" si="44"/>
        <v>2.3449926044660243</v>
      </c>
      <c r="BC55" s="360">
        <f t="shared" si="45"/>
        <v>1.7525227410401718</v>
      </c>
      <c r="BD55" s="360">
        <f t="shared" si="46"/>
        <v>0.58029826342585289</v>
      </c>
      <c r="BE55" s="360">
        <f t="shared" si="47"/>
        <v>0.13821170572113797</v>
      </c>
    </row>
    <row r="56" spans="1:64" ht="15.75" x14ac:dyDescent="0.3">
      <c r="A56" s="446" t="s">
        <v>471</v>
      </c>
      <c r="B56" s="5">
        <f>ThetaJA_Q4</f>
        <v>38</v>
      </c>
      <c r="C56" s="441" t="s">
        <v>205</v>
      </c>
      <c r="D56" s="76" t="s">
        <v>103</v>
      </c>
      <c r="E56" s="2"/>
      <c r="G56">
        <v>47</v>
      </c>
      <c r="H56" s="548">
        <f t="shared" si="0"/>
        <v>21</v>
      </c>
      <c r="I56" s="4">
        <f t="shared" si="49"/>
        <v>1</v>
      </c>
      <c r="J56" s="360">
        <f t="shared" si="81"/>
        <v>3.76</v>
      </c>
      <c r="K56" s="4">
        <f t="shared" si="50"/>
        <v>0.99470899470899443</v>
      </c>
      <c r="L56" s="4"/>
      <c r="M56" s="360">
        <f t="shared" si="51"/>
        <v>0.24094815367258299</v>
      </c>
      <c r="N56" s="4">
        <f t="shared" si="52"/>
        <v>1.8293242775686638</v>
      </c>
      <c r="O56" s="4">
        <f t="shared" si="35"/>
        <v>4.6746621387843312</v>
      </c>
      <c r="P56" s="4">
        <f t="shared" si="36"/>
        <v>2.8453378612156679</v>
      </c>
      <c r="Q56" s="4">
        <f t="shared" si="53"/>
        <v>0</v>
      </c>
      <c r="R56" s="4">
        <f t="shared" si="54"/>
        <v>3.7969025458534631</v>
      </c>
      <c r="S56" s="360">
        <f t="shared" si="55"/>
        <v>0.12974822048437656</v>
      </c>
      <c r="T56" s="360">
        <f t="shared" si="56"/>
        <v>0.3</v>
      </c>
      <c r="U56" s="360">
        <f t="shared" si="57"/>
        <v>0.43425573317352884</v>
      </c>
      <c r="V56" s="4">
        <f t="shared" si="37"/>
        <v>0.5280804320446929</v>
      </c>
      <c r="W56" s="360">
        <f t="shared" si="58"/>
        <v>5.577378854170191E-4</v>
      </c>
      <c r="X56" s="360">
        <f t="shared" si="38"/>
        <v>5.577378854170191E-4</v>
      </c>
      <c r="Y56" s="4">
        <f t="shared" si="59"/>
        <v>1.6237791935350343</v>
      </c>
      <c r="Z56" s="360">
        <f t="shared" si="12"/>
        <v>2.6366588693572863E-3</v>
      </c>
      <c r="AA56" s="541">
        <f t="shared" si="39"/>
        <v>2.6366588693572863E-3</v>
      </c>
      <c r="AB56" s="360">
        <f t="shared" si="60"/>
        <v>1.8637654289700059</v>
      </c>
      <c r="AC56" s="360">
        <f t="shared" si="61"/>
        <v>2.0841729445342499E-2</v>
      </c>
      <c r="AD56" s="360">
        <f t="shared" si="62"/>
        <v>0.29823982508630609</v>
      </c>
      <c r="AE56" s="360">
        <f t="shared" si="63"/>
        <v>0.63444464999999983</v>
      </c>
      <c r="AF56" s="360">
        <f t="shared" si="64"/>
        <v>0</v>
      </c>
      <c r="AG56" s="360">
        <f t="shared" si="65"/>
        <v>0.95655652094738042</v>
      </c>
      <c r="AH56" s="360">
        <f t="shared" si="66"/>
        <v>3.3079974861666321</v>
      </c>
      <c r="AI56" s="360">
        <f t="shared" si="67"/>
        <v>2.7357118421211895E-2</v>
      </c>
      <c r="AJ56" s="360">
        <f t="shared" si="68"/>
        <v>0.15476159999999997</v>
      </c>
      <c r="AK56" s="360">
        <f t="shared" si="69"/>
        <v>0.18312064907764913</v>
      </c>
      <c r="AL56" s="360">
        <f t="shared" si="70"/>
        <v>0.15476159999999997</v>
      </c>
      <c r="AM56" s="360">
        <f t="shared" si="71"/>
        <v>1.2436199999999997</v>
      </c>
      <c r="AN56" s="360">
        <f t="shared" si="72"/>
        <v>0.1441646894270851</v>
      </c>
      <c r="AO56" s="360">
        <f t="shared" si="73"/>
        <v>7.3499999999999998E-4</v>
      </c>
      <c r="AP56" s="360">
        <f t="shared" si="74"/>
        <v>0.34650000000000003</v>
      </c>
      <c r="AQ56" s="360">
        <f t="shared" si="75"/>
        <v>1.3167</v>
      </c>
      <c r="AR56" s="360">
        <f t="shared" si="76"/>
        <v>1.1088</v>
      </c>
      <c r="AS56" s="360">
        <f t="shared" si="48"/>
        <v>0.34723500000000002</v>
      </c>
      <c r="AT56" s="360">
        <f t="shared" si="41"/>
        <v>3.4669085893804179</v>
      </c>
      <c r="AU56">
        <f t="shared" si="77"/>
        <v>18.799999999999997</v>
      </c>
      <c r="AV56" s="542">
        <f t="shared" si="42"/>
        <v>0.84430220407722589</v>
      </c>
      <c r="AW56" s="551">
        <f t="shared" si="78"/>
        <v>88.867286047369021</v>
      </c>
      <c r="AX56" s="551">
        <f t="shared" si="79"/>
        <v>22.553579464950666</v>
      </c>
      <c r="AY56" s="9"/>
      <c r="AZ56" s="4">
        <f t="shared" si="43"/>
        <v>84.430220407722587</v>
      </c>
      <c r="BA56" s="360">
        <f t="shared" si="80"/>
        <v>0.43425573317352884</v>
      </c>
      <c r="BB56" s="360">
        <f t="shared" si="44"/>
        <v>2.3832971700250294</v>
      </c>
      <c r="BC56" s="360">
        <f t="shared" si="45"/>
        <v>1.7773457209473804</v>
      </c>
      <c r="BD56" s="360">
        <f t="shared" si="46"/>
        <v>0.59351524907764908</v>
      </c>
      <c r="BE56" s="360">
        <f t="shared" si="47"/>
        <v>0.1441646894270851</v>
      </c>
      <c r="BK56" s="18"/>
      <c r="BL56" s="19"/>
    </row>
    <row r="57" spans="1:64" x14ac:dyDescent="0.2">
      <c r="A57" s="24" t="s">
        <v>224</v>
      </c>
      <c r="B57" s="15" t="s">
        <v>111</v>
      </c>
      <c r="C57" s="24" t="s">
        <v>76</v>
      </c>
      <c r="D57" s="24" t="s">
        <v>213</v>
      </c>
      <c r="G57">
        <v>48</v>
      </c>
      <c r="H57" s="548">
        <f t="shared" si="0"/>
        <v>21</v>
      </c>
      <c r="I57" s="4">
        <f t="shared" si="49"/>
        <v>1</v>
      </c>
      <c r="J57" s="360">
        <f t="shared" si="81"/>
        <v>3.84</v>
      </c>
      <c r="K57" s="4">
        <f t="shared" si="50"/>
        <v>1.0158730158730158</v>
      </c>
      <c r="L57" s="4"/>
      <c r="M57" s="360">
        <f t="shared" si="51"/>
        <v>0.24100878194298583</v>
      </c>
      <c r="N57" s="4">
        <f t="shared" si="52"/>
        <v>1.8296468596418367</v>
      </c>
      <c r="O57" s="4">
        <f t="shared" si="35"/>
        <v>4.7548234298209184</v>
      </c>
      <c r="P57" s="4">
        <f t="shared" si="36"/>
        <v>2.9251765701790813</v>
      </c>
      <c r="Q57" s="4">
        <f t="shared" si="53"/>
        <v>0</v>
      </c>
      <c r="R57" s="4">
        <f t="shared" si="54"/>
        <v>3.8761536737574147</v>
      </c>
      <c r="S57" s="360">
        <f t="shared" si="55"/>
        <v>0.13522110572324791</v>
      </c>
      <c r="T57" s="360">
        <f t="shared" si="56"/>
        <v>0.3</v>
      </c>
      <c r="U57" s="360">
        <f t="shared" si="57"/>
        <v>0.43998067964310444</v>
      </c>
      <c r="V57" s="4">
        <f t="shared" si="37"/>
        <v>0.52817355346808392</v>
      </c>
      <c r="W57" s="360">
        <f t="shared" si="58"/>
        <v>5.5793460516620583E-4</v>
      </c>
      <c r="X57" s="360">
        <f t="shared" si="38"/>
        <v>5.5793460516620583E-4</v>
      </c>
      <c r="Y57" s="4">
        <f t="shared" si="59"/>
        <v>1.6578139740988032</v>
      </c>
      <c r="Z57" s="360">
        <f t="shared" si="12"/>
        <v>2.7483471727172671E-3</v>
      </c>
      <c r="AA57" s="541">
        <f t="shared" si="39"/>
        <v>2.7483471727172671E-3</v>
      </c>
      <c r="AB57" s="360">
        <f t="shared" si="60"/>
        <v>1.9029063731082425</v>
      </c>
      <c r="AC57" s="360">
        <f t="shared" si="61"/>
        <v>2.1726315988895798E-2</v>
      </c>
      <c r="AD57" s="360">
        <f t="shared" si="62"/>
        <v>0.30458535327963177</v>
      </c>
      <c r="AE57" s="360">
        <f t="shared" si="63"/>
        <v>0.63444464999999983</v>
      </c>
      <c r="AF57" s="360">
        <f t="shared" si="64"/>
        <v>0</v>
      </c>
      <c r="AG57" s="360">
        <f t="shared" si="65"/>
        <v>0.96393963354356071</v>
      </c>
      <c r="AH57" s="360">
        <f t="shared" si="66"/>
        <v>3.3769090360516283</v>
      </c>
      <c r="AI57" s="360">
        <f t="shared" si="67"/>
        <v>2.8508786594417846E-2</v>
      </c>
      <c r="AJ57" s="360">
        <f t="shared" si="68"/>
        <v>0.15805439999999998</v>
      </c>
      <c r="AK57" s="360">
        <f t="shared" si="69"/>
        <v>0.18763302456549844</v>
      </c>
      <c r="AL57" s="360">
        <f t="shared" si="70"/>
        <v>0.15805439999999998</v>
      </c>
      <c r="AM57" s="360">
        <f t="shared" si="71"/>
        <v>1.2700799999999999</v>
      </c>
      <c r="AN57" s="360">
        <f t="shared" si="72"/>
        <v>0.15024567302583103</v>
      </c>
      <c r="AO57" s="360">
        <f t="shared" si="73"/>
        <v>7.3499999999999998E-4</v>
      </c>
      <c r="AP57" s="360">
        <f t="shared" si="74"/>
        <v>0.34650000000000003</v>
      </c>
      <c r="AQ57" s="360">
        <f t="shared" si="75"/>
        <v>1.3167</v>
      </c>
      <c r="AR57" s="360">
        <f t="shared" si="76"/>
        <v>1.1088</v>
      </c>
      <c r="AS57" s="360">
        <f t="shared" si="48"/>
        <v>0.34723500000000002</v>
      </c>
      <c r="AT57" s="360">
        <f t="shared" si="41"/>
        <v>3.5204746925558776</v>
      </c>
      <c r="AU57">
        <f t="shared" si="77"/>
        <v>19.2</v>
      </c>
      <c r="AV57" s="542">
        <f t="shared" si="42"/>
        <v>0.84505276671401053</v>
      </c>
      <c r="AW57" s="551">
        <f t="shared" si="78"/>
        <v>90.109621677178026</v>
      </c>
      <c r="AX57" s="551">
        <f t="shared" si="79"/>
        <v>23.056858133488937</v>
      </c>
      <c r="AY57" s="9"/>
      <c r="AZ57" s="4">
        <f t="shared" si="43"/>
        <v>84.505276671401049</v>
      </c>
      <c r="BA57" s="360">
        <f t="shared" si="80"/>
        <v>0.43998067964310444</v>
      </c>
      <c r="BB57" s="360">
        <f t="shared" si="44"/>
        <v>2.4216526581090587</v>
      </c>
      <c r="BC57" s="360">
        <f t="shared" si="45"/>
        <v>1.8021924335435606</v>
      </c>
      <c r="BD57" s="360">
        <f t="shared" si="46"/>
        <v>0.60675942456549836</v>
      </c>
      <c r="BE57" s="360">
        <f t="shared" si="47"/>
        <v>0.15024567302583103</v>
      </c>
      <c r="BK57" s="18"/>
      <c r="BL57" s="19"/>
    </row>
    <row r="58" spans="1:64" x14ac:dyDescent="0.2">
      <c r="A58" s="23" t="s">
        <v>195</v>
      </c>
      <c r="B58" s="73">
        <f>VfdSky_Q4</f>
        <v>0</v>
      </c>
      <c r="C58" s="440" t="s">
        <v>0</v>
      </c>
      <c r="D58" s="76" t="s">
        <v>198</v>
      </c>
      <c r="G58">
        <v>49</v>
      </c>
      <c r="H58" s="548">
        <f t="shared" si="0"/>
        <v>21</v>
      </c>
      <c r="I58" s="4">
        <f t="shared" si="49"/>
        <v>1</v>
      </c>
      <c r="J58" s="360">
        <f t="shared" si="81"/>
        <v>3.92</v>
      </c>
      <c r="K58" s="4">
        <f t="shared" si="50"/>
        <v>1.037037037037037</v>
      </c>
      <c r="L58" s="4"/>
      <c r="M58" s="360">
        <f t="shared" si="51"/>
        <v>0.2410694072144845</v>
      </c>
      <c r="N58" s="4">
        <f t="shared" si="52"/>
        <v>1.8299693496607332</v>
      </c>
      <c r="O58" s="4">
        <f t="shared" si="35"/>
        <v>4.8349846748303662</v>
      </c>
      <c r="P58" s="4">
        <f t="shared" si="36"/>
        <v>3.0050153251696332</v>
      </c>
      <c r="Q58" s="4">
        <f t="shared" si="53"/>
        <v>0</v>
      </c>
      <c r="R58" s="4">
        <f t="shared" si="54"/>
        <v>3.9554349510167413</v>
      </c>
      <c r="S58" s="360">
        <f t="shared" si="55"/>
        <v>0.14080919086552329</v>
      </c>
      <c r="T58" s="360">
        <f t="shared" si="56"/>
        <v>0.3</v>
      </c>
      <c r="U58" s="360">
        <f t="shared" si="57"/>
        <v>0.44583136314608923</v>
      </c>
      <c r="V58" s="4">
        <f t="shared" si="37"/>
        <v>0.52826664831769443</v>
      </c>
      <c r="W58" s="360">
        <f t="shared" si="58"/>
        <v>5.5813130344962124E-4</v>
      </c>
      <c r="X58" s="360">
        <f t="shared" si="38"/>
        <v>5.5813130344962124E-4</v>
      </c>
      <c r="Y58" s="4">
        <f t="shared" si="59"/>
        <v>1.6918674169746608</v>
      </c>
      <c r="Z58" s="360">
        <f t="shared" si="12"/>
        <v>2.862415356620511E-3</v>
      </c>
      <c r="AA58" s="541">
        <f t="shared" si="39"/>
        <v>2.862415356620511E-3</v>
      </c>
      <c r="AB58" s="360">
        <f t="shared" si="60"/>
        <v>1.9420718653684983</v>
      </c>
      <c r="AC58" s="360">
        <f t="shared" si="61"/>
        <v>2.2629858781535273E-2</v>
      </c>
      <c r="AD58" s="360">
        <f t="shared" si="62"/>
        <v>0.31093088147295744</v>
      </c>
      <c r="AE58" s="360">
        <f t="shared" si="63"/>
        <v>0.63444464999999983</v>
      </c>
      <c r="AF58" s="360">
        <f t="shared" si="64"/>
        <v>0</v>
      </c>
      <c r="AG58" s="360">
        <f t="shared" si="65"/>
        <v>0.97134656847672118</v>
      </c>
      <c r="AH58" s="360">
        <f t="shared" si="66"/>
        <v>3.4458413372453656</v>
      </c>
      <c r="AI58" s="360">
        <f t="shared" si="67"/>
        <v>2.9684556303672324E-2</v>
      </c>
      <c r="AJ58" s="360">
        <f t="shared" si="68"/>
        <v>0.16134719999999997</v>
      </c>
      <c r="AK58" s="360">
        <f t="shared" si="69"/>
        <v>0.19217266838259836</v>
      </c>
      <c r="AL58" s="360">
        <f t="shared" si="70"/>
        <v>0.16134719999999997</v>
      </c>
      <c r="AM58" s="360">
        <f t="shared" si="71"/>
        <v>1.2965399999999998</v>
      </c>
      <c r="AN58" s="360">
        <f t="shared" si="72"/>
        <v>0.1564546565172481</v>
      </c>
      <c r="AO58" s="360">
        <f t="shared" si="73"/>
        <v>7.3499999999999998E-4</v>
      </c>
      <c r="AP58" s="360">
        <f t="shared" si="74"/>
        <v>0.34650000000000003</v>
      </c>
      <c r="AQ58" s="360">
        <f t="shared" si="75"/>
        <v>1.3167</v>
      </c>
      <c r="AR58" s="360">
        <f t="shared" si="76"/>
        <v>1.1088</v>
      </c>
      <c r="AS58" s="360">
        <f t="shared" si="48"/>
        <v>0.34723500000000002</v>
      </c>
      <c r="AT58" s="360">
        <f t="shared" si="41"/>
        <v>3.5743480031827266</v>
      </c>
      <c r="AU58">
        <f t="shared" si="77"/>
        <v>19.600000000000001</v>
      </c>
      <c r="AV58" s="542">
        <f t="shared" si="42"/>
        <v>0.84576273720012174</v>
      </c>
      <c r="AW58" s="551">
        <f t="shared" si="78"/>
        <v>91.35314842383606</v>
      </c>
      <c r="AX58" s="551">
        <f t="shared" si="79"/>
        <v>23.561172998538737</v>
      </c>
      <c r="AY58" s="9"/>
      <c r="AZ58" s="4">
        <f t="shared" si="43"/>
        <v>84.576273720012168</v>
      </c>
      <c r="BA58" s="360">
        <f t="shared" si="80"/>
        <v>0.44583136314608923</v>
      </c>
      <c r="BB58" s="360">
        <f t="shared" si="44"/>
        <v>2.460059236859319</v>
      </c>
      <c r="BC58" s="360">
        <f t="shared" si="45"/>
        <v>1.8270629684767212</v>
      </c>
      <c r="BD58" s="360">
        <f t="shared" si="46"/>
        <v>0.62003086838259835</v>
      </c>
      <c r="BE58" s="360">
        <f t="shared" si="47"/>
        <v>0.1564546565172481</v>
      </c>
      <c r="BK58" s="18"/>
      <c r="BL58" s="19"/>
    </row>
    <row r="59" spans="1:64" x14ac:dyDescent="0.2">
      <c r="A59" s="23" t="s">
        <v>196</v>
      </c>
      <c r="B59" s="73">
        <f>QrrSky_Q4*1000000000</f>
        <v>0</v>
      </c>
      <c r="C59" s="440" t="s">
        <v>65</v>
      </c>
      <c r="D59" s="76" t="s">
        <v>199</v>
      </c>
      <c r="G59">
        <v>50</v>
      </c>
      <c r="H59" s="548">
        <f t="shared" si="0"/>
        <v>21</v>
      </c>
      <c r="I59" s="4">
        <f t="shared" si="49"/>
        <v>1</v>
      </c>
      <c r="J59" s="360">
        <f t="shared" si="81"/>
        <v>4</v>
      </c>
      <c r="K59" s="4">
        <f t="shared" si="50"/>
        <v>1.0582010582010581</v>
      </c>
      <c r="L59" s="4"/>
      <c r="M59" s="360">
        <f t="shared" si="51"/>
        <v>0.24113002948730144</v>
      </c>
      <c r="N59" s="4">
        <f t="shared" si="52"/>
        <v>1.8302917476321834</v>
      </c>
      <c r="O59" s="4">
        <f t="shared" si="35"/>
        <v>4.9151458738160914</v>
      </c>
      <c r="P59" s="4">
        <f t="shared" si="36"/>
        <v>3.0848541261839082</v>
      </c>
      <c r="Q59" s="4">
        <f t="shared" si="53"/>
        <v>0</v>
      </c>
      <c r="R59" s="4">
        <f t="shared" si="54"/>
        <v>4.0347446003583514</v>
      </c>
      <c r="S59" s="360">
        <f t="shared" si="55"/>
        <v>0.14651247591108782</v>
      </c>
      <c r="T59" s="360">
        <f t="shared" si="56"/>
        <v>0.3</v>
      </c>
      <c r="U59" s="360">
        <f t="shared" si="57"/>
        <v>0.45180811799137949</v>
      </c>
      <c r="V59" s="4">
        <f t="shared" si="37"/>
        <v>0.52835971659549585</v>
      </c>
      <c r="W59" s="360">
        <f t="shared" si="58"/>
        <v>5.5832798024174537E-4</v>
      </c>
      <c r="X59" s="360">
        <f t="shared" si="38"/>
        <v>5.5832798024174537E-4</v>
      </c>
      <c r="Y59" s="4">
        <f t="shared" si="59"/>
        <v>1.7259387620144999</v>
      </c>
      <c r="Z59" s="360">
        <f t="shared" si="12"/>
        <v>2.978864610224145E-3</v>
      </c>
      <c r="AA59" s="541">
        <f t="shared" si="39"/>
        <v>2.978864610224145E-3</v>
      </c>
      <c r="AB59" s="360">
        <f t="shared" si="60"/>
        <v>1.9812610360491274</v>
      </c>
      <c r="AC59" s="360">
        <f t="shared" si="61"/>
        <v>2.3552371757798771E-2</v>
      </c>
      <c r="AD59" s="360">
        <f t="shared" si="62"/>
        <v>0.31727640966628307</v>
      </c>
      <c r="AE59" s="360">
        <f t="shared" si="63"/>
        <v>0.63444464999999983</v>
      </c>
      <c r="AF59" s="360">
        <f t="shared" si="64"/>
        <v>0</v>
      </c>
      <c r="AG59" s="360">
        <f t="shared" si="65"/>
        <v>0.97877741591839451</v>
      </c>
      <c r="AH59" s="360">
        <f t="shared" si="66"/>
        <v>3.5147928384407536</v>
      </c>
      <c r="AI59" s="360">
        <f t="shared" si="67"/>
        <v>3.0884421742886026E-2</v>
      </c>
      <c r="AJ59" s="360">
        <f t="shared" si="68"/>
        <v>0.16463999999999998</v>
      </c>
      <c r="AK59" s="360">
        <f t="shared" si="69"/>
        <v>0.19673965986867323</v>
      </c>
      <c r="AL59" s="360">
        <f t="shared" si="70"/>
        <v>0.16463999999999998</v>
      </c>
      <c r="AM59" s="360">
        <f t="shared" si="71"/>
        <v>1.323</v>
      </c>
      <c r="AN59" s="360">
        <f t="shared" si="72"/>
        <v>0.16279163990120871</v>
      </c>
      <c r="AO59" s="360">
        <f t="shared" si="73"/>
        <v>7.3499999999999998E-4</v>
      </c>
      <c r="AP59" s="360">
        <f t="shared" si="74"/>
        <v>0.34650000000000003</v>
      </c>
      <c r="AQ59" s="360">
        <f t="shared" si="75"/>
        <v>1.3167</v>
      </c>
      <c r="AR59" s="360">
        <f t="shared" si="76"/>
        <v>1.1088</v>
      </c>
      <c r="AS59" s="360">
        <f t="shared" si="48"/>
        <v>0.34723500000000002</v>
      </c>
      <c r="AT59" s="360">
        <f t="shared" si="41"/>
        <v>3.628529026270122</v>
      </c>
      <c r="AU59">
        <f t="shared" si="77"/>
        <v>20</v>
      </c>
      <c r="AV59" s="542">
        <f t="shared" si="42"/>
        <v>0.84643440891999944</v>
      </c>
      <c r="AW59" s="551">
        <f t="shared" si="78"/>
        <v>92.597870795919718</v>
      </c>
      <c r="AX59" s="551">
        <f t="shared" si="79"/>
        <v>24.066527075009581</v>
      </c>
      <c r="AY59" s="9"/>
      <c r="AZ59" s="4">
        <f t="shared" si="43"/>
        <v>84.643440891999944</v>
      </c>
      <c r="BA59" s="360">
        <f t="shared" si="80"/>
        <v>0.45180811799137949</v>
      </c>
      <c r="BB59" s="360">
        <f t="shared" si="44"/>
        <v>2.4985170757870678</v>
      </c>
      <c r="BC59" s="360">
        <f t="shared" si="45"/>
        <v>1.8519574159183945</v>
      </c>
      <c r="BD59" s="360">
        <f t="shared" si="46"/>
        <v>0.63332965986867318</v>
      </c>
      <c r="BE59" s="360">
        <f t="shared" si="47"/>
        <v>0.16279163990120871</v>
      </c>
      <c r="BK59" s="18"/>
      <c r="BL59" s="19"/>
    </row>
    <row r="60" spans="1:64" x14ac:dyDescent="0.2">
      <c r="A60" s="23" t="s">
        <v>197</v>
      </c>
      <c r="B60" s="73">
        <f>Ireverse</f>
        <v>0</v>
      </c>
      <c r="C60" s="440" t="s">
        <v>64</v>
      </c>
      <c r="D60" s="76" t="s">
        <v>200</v>
      </c>
      <c r="E60" s="2"/>
      <c r="G60">
        <v>51</v>
      </c>
      <c r="H60" s="548">
        <f t="shared" si="0"/>
        <v>21</v>
      </c>
      <c r="I60" s="4">
        <f t="shared" si="49"/>
        <v>1</v>
      </c>
      <c r="J60" s="360">
        <f t="shared" si="81"/>
        <v>4.08</v>
      </c>
      <c r="K60" s="4">
        <f t="shared" si="50"/>
        <v>1.0793650793650791</v>
      </c>
      <c r="L60" s="4"/>
      <c r="M60" s="360">
        <f t="shared" si="51"/>
        <v>0.24119064876165905</v>
      </c>
      <c r="N60" s="4">
        <f t="shared" si="52"/>
        <v>1.8306140535630149</v>
      </c>
      <c r="O60" s="4">
        <f t="shared" si="35"/>
        <v>4.9953070267815072</v>
      </c>
      <c r="P60" s="4">
        <f t="shared" si="36"/>
        <v>3.1646929732184925</v>
      </c>
      <c r="Q60" s="4">
        <f t="shared" si="53"/>
        <v>0</v>
      </c>
      <c r="R60" s="4">
        <f t="shared" si="54"/>
        <v>4.1140809809431964</v>
      </c>
      <c r="S60" s="360">
        <f t="shared" si="55"/>
        <v>0.15233096085982678</v>
      </c>
      <c r="T60" s="360">
        <f t="shared" si="56"/>
        <v>0.3</v>
      </c>
      <c r="U60" s="360">
        <f t="shared" si="57"/>
        <v>0.45791128615652943</v>
      </c>
      <c r="V60" s="4">
        <f t="shared" si="37"/>
        <v>0.52845275830345939</v>
      </c>
      <c r="W60" s="360">
        <f t="shared" si="58"/>
        <v>5.58524635517069E-4</v>
      </c>
      <c r="X60" s="360">
        <f t="shared" si="38"/>
        <v>5.58524635517069E-4</v>
      </c>
      <c r="Y60" s="4">
        <f t="shared" si="59"/>
        <v>1.760027307175811</v>
      </c>
      <c r="Z60" s="360">
        <f t="shared" si="12"/>
        <v>3.0976961220045367E-3</v>
      </c>
      <c r="AA60" s="541">
        <f t="shared" si="39"/>
        <v>3.0976961220045367E-3</v>
      </c>
      <c r="AB60" s="360">
        <f t="shared" si="60"/>
        <v>2.0204730820134542</v>
      </c>
      <c r="AC60" s="360">
        <f t="shared" si="61"/>
        <v>2.4493868850845681E-2</v>
      </c>
      <c r="AD60" s="360">
        <f t="shared" si="62"/>
        <v>0.32362193785960874</v>
      </c>
      <c r="AE60" s="360">
        <f t="shared" si="63"/>
        <v>0.63444464999999983</v>
      </c>
      <c r="AF60" s="360">
        <f t="shared" si="64"/>
        <v>0</v>
      </c>
      <c r="AG60" s="360">
        <f t="shared" si="65"/>
        <v>0.98623226656710694</v>
      </c>
      <c r="AH60" s="360">
        <f t="shared" si="66"/>
        <v>3.5837621074253221</v>
      </c>
      <c r="AI60" s="360">
        <f t="shared" si="67"/>
        <v>3.2108377106543962E-2</v>
      </c>
      <c r="AJ60" s="360">
        <f t="shared" si="68"/>
        <v>0.16793279999999999</v>
      </c>
      <c r="AK60" s="360">
        <f t="shared" si="69"/>
        <v>0.20133407921450761</v>
      </c>
      <c r="AL60" s="360">
        <f t="shared" si="70"/>
        <v>0.16793279999999999</v>
      </c>
      <c r="AM60" s="360">
        <f t="shared" si="71"/>
        <v>1.3494599999999999</v>
      </c>
      <c r="AN60" s="360">
        <f t="shared" si="72"/>
        <v>0.16925662317758533</v>
      </c>
      <c r="AO60" s="360">
        <f t="shared" si="73"/>
        <v>7.3499999999999998E-4</v>
      </c>
      <c r="AP60" s="360">
        <f t="shared" si="74"/>
        <v>0.34650000000000003</v>
      </c>
      <c r="AQ60" s="360">
        <f t="shared" si="75"/>
        <v>1.3167</v>
      </c>
      <c r="AR60" s="360">
        <f t="shared" si="76"/>
        <v>1.1088</v>
      </c>
      <c r="AS60" s="360">
        <f t="shared" si="48"/>
        <v>0.34723500000000002</v>
      </c>
      <c r="AT60" s="360">
        <f t="shared" si="41"/>
        <v>3.683018275873251</v>
      </c>
      <c r="AU60">
        <f t="shared" si="77"/>
        <v>20.399999999999999</v>
      </c>
      <c r="AV60" s="542">
        <f t="shared" si="42"/>
        <v>0.847069904873055</v>
      </c>
      <c r="AW60" s="551">
        <f t="shared" si="78"/>
        <v>93.843793328355346</v>
      </c>
      <c r="AX60" s="551">
        <f t="shared" si="79"/>
        <v>24.57292341015129</v>
      </c>
      <c r="AY60" s="9"/>
      <c r="AZ60" s="4">
        <f t="shared" si="43"/>
        <v>84.706990487305504</v>
      </c>
      <c r="BA60" s="360">
        <f t="shared" si="80"/>
        <v>0.45791128615652943</v>
      </c>
      <c r="BB60" s="360">
        <f t="shared" si="44"/>
        <v>2.5370263457816145</v>
      </c>
      <c r="BC60" s="360">
        <f t="shared" si="45"/>
        <v>1.876875866567107</v>
      </c>
      <c r="BD60" s="360">
        <f t="shared" si="46"/>
        <v>0.64665587921450762</v>
      </c>
      <c r="BE60" s="360">
        <f t="shared" si="47"/>
        <v>0.16925662317758533</v>
      </c>
      <c r="BK60" s="18"/>
      <c r="BL60" s="19"/>
    </row>
    <row r="61" spans="1:64" x14ac:dyDescent="0.2">
      <c r="A61" s="24" t="s">
        <v>117</v>
      </c>
      <c r="B61" s="15" t="s">
        <v>111</v>
      </c>
      <c r="C61" s="24" t="s">
        <v>76</v>
      </c>
      <c r="D61" s="24" t="s">
        <v>213</v>
      </c>
      <c r="G61">
        <v>52</v>
      </c>
      <c r="H61" s="548">
        <f t="shared" si="0"/>
        <v>21</v>
      </c>
      <c r="I61" s="4">
        <f t="shared" si="49"/>
        <v>1</v>
      </c>
      <c r="J61" s="360">
        <f t="shared" si="81"/>
        <v>4.16</v>
      </c>
      <c r="K61" s="4">
        <f t="shared" si="50"/>
        <v>1.1005291005291005</v>
      </c>
      <c r="L61" s="4"/>
      <c r="M61" s="360">
        <f t="shared" si="51"/>
        <v>0.24125126503777994</v>
      </c>
      <c r="N61" s="4">
        <f t="shared" si="52"/>
        <v>1.8309362674600578</v>
      </c>
      <c r="O61" s="4">
        <f t="shared" si="35"/>
        <v>5.0754681337300287</v>
      </c>
      <c r="P61" s="4">
        <f t="shared" si="36"/>
        <v>3.2445318662699711</v>
      </c>
      <c r="Q61" s="4">
        <f t="shared" si="53"/>
        <v>0</v>
      </c>
      <c r="R61" s="4">
        <f t="shared" si="54"/>
        <v>4.1934425755726101</v>
      </c>
      <c r="S61" s="360">
        <f t="shared" si="55"/>
        <v>0.15826464571162538</v>
      </c>
      <c r="T61" s="360">
        <f t="shared" si="56"/>
        <v>0.3</v>
      </c>
      <c r="U61" s="360">
        <f t="shared" si="57"/>
        <v>0.46414121733739055</v>
      </c>
      <c r="V61" s="4">
        <f t="shared" si="37"/>
        <v>0.52854577344355658</v>
      </c>
      <c r="W61" s="360">
        <f t="shared" si="58"/>
        <v>5.5872126925009496E-4</v>
      </c>
      <c r="X61" s="360">
        <f t="shared" si="38"/>
        <v>5.5872126925009496E-4</v>
      </c>
      <c r="Y61" s="4">
        <f t="shared" si="59"/>
        <v>1.7941324030732666</v>
      </c>
      <c r="Z61" s="360">
        <f t="shared" si="12"/>
        <v>3.2189110797574542E-3</v>
      </c>
      <c r="AA61" s="541">
        <f t="shared" si="39"/>
        <v>3.2189110797574542E-3</v>
      </c>
      <c r="AB61" s="360">
        <f t="shared" si="60"/>
        <v>2.0597072604481577</v>
      </c>
      <c r="AC61" s="360">
        <f t="shared" si="61"/>
        <v>2.5454363992457128E-2</v>
      </c>
      <c r="AD61" s="360">
        <f t="shared" si="62"/>
        <v>0.32996746605293442</v>
      </c>
      <c r="AE61" s="360">
        <f t="shared" si="63"/>
        <v>0.63444464999999983</v>
      </c>
      <c r="AF61" s="360">
        <f t="shared" si="64"/>
        <v>0</v>
      </c>
      <c r="AG61" s="360">
        <f t="shared" si="65"/>
        <v>0.9937112116518767</v>
      </c>
      <c r="AH61" s="360">
        <f t="shared" si="66"/>
        <v>3.6527478199134129</v>
      </c>
      <c r="AI61" s="360">
        <f t="shared" si="67"/>
        <v>3.3356416589705479E-2</v>
      </c>
      <c r="AJ61" s="360">
        <f t="shared" si="68"/>
        <v>0.17122559999999998</v>
      </c>
      <c r="AK61" s="360">
        <f t="shared" si="69"/>
        <v>0.20595600746654677</v>
      </c>
      <c r="AL61" s="360">
        <f t="shared" si="70"/>
        <v>0.17122559999999998</v>
      </c>
      <c r="AM61" s="360">
        <f t="shared" si="71"/>
        <v>1.3759200000000003</v>
      </c>
      <c r="AN61" s="360">
        <f t="shared" si="72"/>
        <v>0.17584960634625044</v>
      </c>
      <c r="AO61" s="360">
        <f t="shared" si="73"/>
        <v>7.3499999999999998E-4</v>
      </c>
      <c r="AP61" s="360">
        <f t="shared" si="74"/>
        <v>0.34650000000000003</v>
      </c>
      <c r="AQ61" s="360">
        <f t="shared" si="75"/>
        <v>1.3167</v>
      </c>
      <c r="AR61" s="360">
        <f t="shared" si="76"/>
        <v>1.1088</v>
      </c>
      <c r="AS61" s="360">
        <f t="shared" si="48"/>
        <v>0.34723500000000002</v>
      </c>
      <c r="AT61" s="360">
        <f t="shared" si="41"/>
        <v>3.7378162751510722</v>
      </c>
      <c r="AU61">
        <f t="shared" si="77"/>
        <v>20.8</v>
      </c>
      <c r="AV61" s="542">
        <f t="shared" si="42"/>
        <v>0.84767119318045103</v>
      </c>
      <c r="AW61" s="551">
        <f t="shared" si="78"/>
        <v>95.090920582593853</v>
      </c>
      <c r="AX61" s="551">
        <f t="shared" si="79"/>
        <v>25.080365083728783</v>
      </c>
      <c r="AY61" s="9"/>
      <c r="AZ61" s="4">
        <f t="shared" si="43"/>
        <v>84.767119318045104</v>
      </c>
      <c r="BA61" s="360">
        <f t="shared" si="80"/>
        <v>0.46414121733739055</v>
      </c>
      <c r="BB61" s="360">
        <f t="shared" si="44"/>
        <v>2.5755872191184235</v>
      </c>
      <c r="BC61" s="360">
        <f t="shared" si="45"/>
        <v>1.901818411651877</v>
      </c>
      <c r="BD61" s="360">
        <f t="shared" si="46"/>
        <v>0.66000960746654691</v>
      </c>
      <c r="BE61" s="360">
        <f t="shared" si="47"/>
        <v>0.17584960634625044</v>
      </c>
      <c r="BK61" s="18"/>
      <c r="BL61" s="19"/>
    </row>
    <row r="62" spans="1:64" ht="15.75" x14ac:dyDescent="0.3">
      <c r="A62" s="446" t="s">
        <v>470</v>
      </c>
      <c r="B62" s="74">
        <v>30</v>
      </c>
      <c r="C62" s="441" t="s">
        <v>205</v>
      </c>
      <c r="D62" s="76" t="s">
        <v>103</v>
      </c>
      <c r="G62">
        <v>53</v>
      </c>
      <c r="H62" s="548">
        <f t="shared" si="0"/>
        <v>21</v>
      </c>
      <c r="I62" s="4">
        <f t="shared" si="49"/>
        <v>1</v>
      </c>
      <c r="J62" s="360">
        <f t="shared" si="81"/>
        <v>4.24</v>
      </c>
      <c r="K62" s="4">
        <f t="shared" si="50"/>
        <v>1.1216931216931216</v>
      </c>
      <c r="L62" s="4"/>
      <c r="M62" s="360">
        <f t="shared" si="51"/>
        <v>0.24131187831588638</v>
      </c>
      <c r="N62" s="4">
        <f t="shared" si="52"/>
        <v>1.8312583893301386</v>
      </c>
      <c r="O62" s="4">
        <f t="shared" si="35"/>
        <v>5.1556291946650692</v>
      </c>
      <c r="P62" s="4">
        <f t="shared" si="36"/>
        <v>3.3243708053349308</v>
      </c>
      <c r="Q62" s="4">
        <f t="shared" si="53"/>
        <v>0</v>
      </c>
      <c r="R62" s="4">
        <f t="shared" si="54"/>
        <v>4.2728279793021935</v>
      </c>
      <c r="S62" s="360">
        <f t="shared" si="55"/>
        <v>0.16431353046636898</v>
      </c>
      <c r="T62" s="360">
        <f t="shared" si="56"/>
        <v>0.3</v>
      </c>
      <c r="U62" s="360">
        <f t="shared" si="57"/>
        <v>0.4704982689989719</v>
      </c>
      <c r="V62" s="4">
        <f t="shared" si="37"/>
        <v>0.52863876201775806</v>
      </c>
      <c r="W62" s="360">
        <f t="shared" si="58"/>
        <v>5.5891788141533571E-4</v>
      </c>
      <c r="X62" s="360">
        <f t="shared" si="38"/>
        <v>5.5891788141533571E-4</v>
      </c>
      <c r="Y62" s="4">
        <f t="shared" si="59"/>
        <v>1.8282534481297215</v>
      </c>
      <c r="Z62" s="360">
        <f t="shared" si="12"/>
        <v>3.3425106705982162E-3</v>
      </c>
      <c r="AA62" s="541">
        <f t="shared" si="39"/>
        <v>3.3425106705982162E-3</v>
      </c>
      <c r="AB62" s="360">
        <f t="shared" si="60"/>
        <v>2.0989628833083289</v>
      </c>
      <c r="AC62" s="360">
        <f t="shared" si="61"/>
        <v>2.6433871113036085E-2</v>
      </c>
      <c r="AD62" s="360">
        <f t="shared" si="62"/>
        <v>0.3363129942462601</v>
      </c>
      <c r="AE62" s="360">
        <f t="shared" si="63"/>
        <v>0.63444464999999983</v>
      </c>
      <c r="AF62" s="360">
        <f t="shared" si="64"/>
        <v>0</v>
      </c>
      <c r="AG62" s="360">
        <f t="shared" si="65"/>
        <v>1.0012143429357443</v>
      </c>
      <c r="AH62" s="360">
        <f t="shared" si="66"/>
        <v>3.7217487496070514</v>
      </c>
      <c r="AI62" s="360">
        <f t="shared" si="67"/>
        <v>3.4628534388004124E-2</v>
      </c>
      <c r="AJ62" s="360">
        <f t="shared" si="68"/>
        <v>0.17451839999999999</v>
      </c>
      <c r="AK62" s="360">
        <f t="shared" si="69"/>
        <v>0.2106055265315645</v>
      </c>
      <c r="AL62" s="360">
        <f t="shared" si="70"/>
        <v>0.17451839999999999</v>
      </c>
      <c r="AM62" s="360">
        <f t="shared" si="71"/>
        <v>1.4023800000000002</v>
      </c>
      <c r="AN62" s="360">
        <f t="shared" si="72"/>
        <v>0.18257058940707666</v>
      </c>
      <c r="AO62" s="360">
        <f t="shared" si="73"/>
        <v>7.3499999999999998E-4</v>
      </c>
      <c r="AP62" s="360">
        <f t="shared" si="74"/>
        <v>0.34650000000000003</v>
      </c>
      <c r="AQ62" s="360">
        <f t="shared" si="75"/>
        <v>1.3167</v>
      </c>
      <c r="AR62" s="360">
        <f t="shared" si="76"/>
        <v>1.1088</v>
      </c>
      <c r="AS62" s="360">
        <f t="shared" si="48"/>
        <v>0.34723500000000002</v>
      </c>
      <c r="AT62" s="360">
        <f t="shared" si="41"/>
        <v>3.7929235564253707</v>
      </c>
      <c r="AU62">
        <f t="shared" si="77"/>
        <v>21.200000000000003</v>
      </c>
      <c r="AV62" s="542">
        <f t="shared" si="42"/>
        <v>0.84824010092847835</v>
      </c>
      <c r="AW62" s="551">
        <f t="shared" si="78"/>
        <v>96.339257146787219</v>
      </c>
      <c r="AX62" s="551">
        <f t="shared" si="79"/>
        <v>25.588855208199451</v>
      </c>
      <c r="AY62" s="9"/>
      <c r="AZ62" s="4">
        <f t="shared" si="43"/>
        <v>84.824010092847828</v>
      </c>
      <c r="BA62" s="360">
        <f t="shared" si="80"/>
        <v>0.4704982689989719</v>
      </c>
      <c r="BB62" s="360">
        <f t="shared" si="44"/>
        <v>2.614199869467309</v>
      </c>
      <c r="BC62" s="360">
        <f t="shared" si="45"/>
        <v>1.9267851429357443</v>
      </c>
      <c r="BD62" s="360">
        <f t="shared" si="46"/>
        <v>0.67339092653156452</v>
      </c>
      <c r="BE62" s="360">
        <f t="shared" si="47"/>
        <v>0.18257058940707666</v>
      </c>
      <c r="BK62" s="18"/>
      <c r="BL62" s="19"/>
    </row>
    <row r="63" spans="1:64" x14ac:dyDescent="0.2">
      <c r="A63" s="23" t="s">
        <v>118</v>
      </c>
      <c r="B63" s="74">
        <v>2</v>
      </c>
      <c r="C63" s="441" t="s">
        <v>205</v>
      </c>
      <c r="D63" s="21" t="s">
        <v>103</v>
      </c>
      <c r="G63">
        <v>54</v>
      </c>
      <c r="H63" s="548">
        <f t="shared" si="0"/>
        <v>21</v>
      </c>
      <c r="I63" s="4">
        <f t="shared" si="49"/>
        <v>1</v>
      </c>
      <c r="J63" s="360">
        <f t="shared" si="81"/>
        <v>4.32</v>
      </c>
      <c r="K63" s="4">
        <f t="shared" si="50"/>
        <v>1.1428571428571428</v>
      </c>
      <c r="L63" s="4"/>
      <c r="M63" s="360">
        <f t="shared" si="51"/>
        <v>0.24137248859620089</v>
      </c>
      <c r="N63" s="4">
        <f t="shared" si="52"/>
        <v>1.8315804191800855</v>
      </c>
      <c r="O63" s="4">
        <f t="shared" si="35"/>
        <v>5.2357902095900428</v>
      </c>
      <c r="P63" s="4">
        <f t="shared" si="36"/>
        <v>3.4042097904099577</v>
      </c>
      <c r="Q63" s="4">
        <f t="shared" si="53"/>
        <v>0</v>
      </c>
      <c r="R63" s="4">
        <f t="shared" si="54"/>
        <v>4.3522358892865238</v>
      </c>
      <c r="S63" s="360">
        <f t="shared" si="55"/>
        <v>0.17047761512394291</v>
      </c>
      <c r="T63" s="360">
        <f t="shared" si="56"/>
        <v>0.3</v>
      </c>
      <c r="U63" s="360">
        <f t="shared" si="57"/>
        <v>0.47698280642753421</v>
      </c>
      <c r="V63" s="4">
        <f t="shared" si="37"/>
        <v>0.52873172402803503</v>
      </c>
      <c r="W63" s="360">
        <f t="shared" si="58"/>
        <v>5.591144719873164E-4</v>
      </c>
      <c r="X63" s="360">
        <f t="shared" si="38"/>
        <v>5.591144719873164E-4</v>
      </c>
      <c r="Y63" s="4">
        <f t="shared" si="59"/>
        <v>1.8623898842513735</v>
      </c>
      <c r="Z63" s="360">
        <f t="shared" si="12"/>
        <v>3.4684960809618446E-3</v>
      </c>
      <c r="AA63" s="541">
        <f t="shared" si="39"/>
        <v>3.4684960809618446E-3</v>
      </c>
      <c r="AB63" s="360">
        <f t="shared" si="60"/>
        <v>2.1382393123630021</v>
      </c>
      <c r="AC63" s="360">
        <f t="shared" si="61"/>
        <v>2.7432404141607625E-2</v>
      </c>
      <c r="AD63" s="360">
        <f t="shared" si="62"/>
        <v>0.34265852243958572</v>
      </c>
      <c r="AE63" s="360">
        <f t="shared" si="63"/>
        <v>0.63444464999999983</v>
      </c>
      <c r="AF63" s="360">
        <f t="shared" si="64"/>
        <v>0</v>
      </c>
      <c r="AG63" s="360">
        <f t="shared" si="65"/>
        <v>1.0087417527193299</v>
      </c>
      <c r="AH63" s="360">
        <f t="shared" si="66"/>
        <v>3.7907637593312322</v>
      </c>
      <c r="AI63" s="360">
        <f t="shared" si="67"/>
        <v>3.5924724697647639E-2</v>
      </c>
      <c r="AJ63" s="360">
        <f t="shared" si="68"/>
        <v>0.1778112</v>
      </c>
      <c r="AK63" s="360">
        <f t="shared" si="69"/>
        <v>0.21528271918139816</v>
      </c>
      <c r="AL63" s="360">
        <f t="shared" si="70"/>
        <v>0.1778112</v>
      </c>
      <c r="AM63" s="360">
        <f t="shared" si="71"/>
        <v>1.4288400000000001</v>
      </c>
      <c r="AN63" s="360">
        <f t="shared" si="72"/>
        <v>0.18941957235993659</v>
      </c>
      <c r="AO63" s="360">
        <f t="shared" si="73"/>
        <v>7.3499999999999998E-4</v>
      </c>
      <c r="AP63" s="360">
        <f t="shared" si="74"/>
        <v>0.34650000000000003</v>
      </c>
      <c r="AQ63" s="360">
        <f t="shared" si="75"/>
        <v>1.3167</v>
      </c>
      <c r="AR63" s="360">
        <f t="shared" si="76"/>
        <v>1.1088</v>
      </c>
      <c r="AS63" s="360">
        <f t="shared" si="48"/>
        <v>0.34723500000000002</v>
      </c>
      <c r="AT63" s="360">
        <f t="shared" si="41"/>
        <v>3.8483406612411484</v>
      </c>
      <c r="AU63">
        <f t="shared" si="77"/>
        <v>21.6</v>
      </c>
      <c r="AV63" s="542">
        <f t="shared" si="42"/>
        <v>0.84877832655304208</v>
      </c>
      <c r="AW63" s="551">
        <f t="shared" si="78"/>
        <v>97.588807635966504</v>
      </c>
      <c r="AX63" s="551">
        <f t="shared" si="79"/>
        <v>26.098396928893134</v>
      </c>
      <c r="AY63" s="9"/>
      <c r="AZ63" s="4">
        <f t="shared" si="43"/>
        <v>84.877832655304204</v>
      </c>
      <c r="BA63" s="360">
        <f t="shared" si="80"/>
        <v>0.47698280642753421</v>
      </c>
      <c r="BB63" s="360">
        <f t="shared" si="44"/>
        <v>2.6528644719007284</v>
      </c>
      <c r="BC63" s="360">
        <f t="shared" si="45"/>
        <v>1.95177615271933</v>
      </c>
      <c r="BD63" s="360">
        <f t="shared" si="46"/>
        <v>0.68679991918139827</v>
      </c>
      <c r="BE63" s="360">
        <f t="shared" si="47"/>
        <v>0.18941957235993659</v>
      </c>
      <c r="BK63" s="18"/>
      <c r="BL63" s="19"/>
    </row>
    <row r="64" spans="1:64" x14ac:dyDescent="0.2">
      <c r="A64" s="75"/>
      <c r="B64" s="30"/>
      <c r="G64">
        <v>55</v>
      </c>
      <c r="H64" s="548">
        <f t="shared" si="0"/>
        <v>21</v>
      </c>
      <c r="I64" s="4">
        <f t="shared" si="49"/>
        <v>1</v>
      </c>
      <c r="J64" s="360">
        <f t="shared" si="81"/>
        <v>4.4000000000000004</v>
      </c>
      <c r="K64" s="4">
        <f t="shared" si="50"/>
        <v>1.164021164021164</v>
      </c>
      <c r="L64" s="4"/>
      <c r="M64" s="360">
        <f t="shared" si="51"/>
        <v>0.24143309587894579</v>
      </c>
      <c r="N64" s="4">
        <f t="shared" si="52"/>
        <v>1.831902357016725</v>
      </c>
      <c r="O64" s="4">
        <f t="shared" si="35"/>
        <v>5.3159511785083629</v>
      </c>
      <c r="P64" s="4">
        <f t="shared" si="36"/>
        <v>3.4840488214916379</v>
      </c>
      <c r="Q64" s="4">
        <f t="shared" si="53"/>
        <v>0</v>
      </c>
      <c r="R64" s="4">
        <f t="shared" si="54"/>
        <v>4.4316650957027752</v>
      </c>
      <c r="S64" s="360">
        <f t="shared" si="55"/>
        <v>0.17675689968423258</v>
      </c>
      <c r="T64" s="360">
        <f t="shared" si="56"/>
        <v>0.3</v>
      </c>
      <c r="U64" s="360">
        <f t="shared" si="57"/>
        <v>0.48359520278393303</v>
      </c>
      <c r="V64" s="4">
        <f t="shared" si="37"/>
        <v>0.52882465947635804</v>
      </c>
      <c r="W64" s="360">
        <f t="shared" si="58"/>
        <v>5.5931104094057206E-4</v>
      </c>
      <c r="X64" s="360">
        <f t="shared" si="38"/>
        <v>5.5931104094057206E-4</v>
      </c>
      <c r="Y64" s="4">
        <f t="shared" si="59"/>
        <v>1.8965411929623937</v>
      </c>
      <c r="Z64" s="360">
        <f t="shared" si="12"/>
        <v>3.5968684966032191E-3</v>
      </c>
      <c r="AA64" s="541">
        <f t="shared" si="39"/>
        <v>3.5968684966032191E-3</v>
      </c>
      <c r="AB64" s="360">
        <f t="shared" si="60"/>
        <v>2.1775359547670319</v>
      </c>
      <c r="AC64" s="360">
        <f t="shared" si="61"/>
        <v>2.8449977005819017E-2</v>
      </c>
      <c r="AD64" s="360">
        <f t="shared" si="62"/>
        <v>0.3490040506329114</v>
      </c>
      <c r="AE64" s="360">
        <f t="shared" si="63"/>
        <v>0.63444464999999983</v>
      </c>
      <c r="AF64" s="360">
        <f t="shared" si="64"/>
        <v>0</v>
      </c>
      <c r="AG64" s="360">
        <f t="shared" si="65"/>
        <v>1.0162935338444237</v>
      </c>
      <c r="AH64" s="360">
        <f t="shared" si="66"/>
        <v>3.8597917931110119</v>
      </c>
      <c r="AI64" s="360">
        <f t="shared" si="67"/>
        <v>3.7244981715417805E-2</v>
      </c>
      <c r="AJ64" s="360">
        <f t="shared" si="68"/>
        <v>0.18110399999999999</v>
      </c>
      <c r="AK64" s="360">
        <f t="shared" si="69"/>
        <v>0.21998766905775247</v>
      </c>
      <c r="AL64" s="360">
        <f t="shared" si="70"/>
        <v>0.18110399999999999</v>
      </c>
      <c r="AM64" s="360">
        <f t="shared" si="71"/>
        <v>1.4553</v>
      </c>
      <c r="AN64" s="360">
        <f t="shared" si="72"/>
        <v>0.19639655520470289</v>
      </c>
      <c r="AO64" s="360">
        <f t="shared" si="73"/>
        <v>7.3499999999999998E-4</v>
      </c>
      <c r="AP64" s="360">
        <f t="shared" si="74"/>
        <v>0.34650000000000003</v>
      </c>
      <c r="AQ64" s="360">
        <f t="shared" si="75"/>
        <v>1.3167</v>
      </c>
      <c r="AR64" s="360">
        <f t="shared" si="76"/>
        <v>1.1088</v>
      </c>
      <c r="AS64" s="360">
        <f t="shared" si="48"/>
        <v>0.34723500000000002</v>
      </c>
      <c r="AT64" s="360">
        <f t="shared" si="41"/>
        <v>3.9040681404283557</v>
      </c>
      <c r="AU64">
        <f t="shared" si="77"/>
        <v>22</v>
      </c>
      <c r="AV64" s="542">
        <f t="shared" si="42"/>
        <v>0.84928745094152613</v>
      </c>
      <c r="AW64" s="551">
        <f t="shared" si="78"/>
        <v>98.839576692221186</v>
      </c>
      <c r="AX64" s="551">
        <f t="shared" si="79"/>
        <v>26.608993424194594</v>
      </c>
      <c r="AY64" s="9"/>
      <c r="AZ64" s="4">
        <f t="shared" si="43"/>
        <v>84.928745094152617</v>
      </c>
      <c r="BA64" s="360">
        <f t="shared" si="80"/>
        <v>0.48359520278393303</v>
      </c>
      <c r="BB64" s="360">
        <f t="shared" si="44"/>
        <v>2.6915812029021762</v>
      </c>
      <c r="BC64" s="360">
        <f t="shared" si="45"/>
        <v>1.9767915338444237</v>
      </c>
      <c r="BD64" s="360">
        <f t="shared" si="46"/>
        <v>0.7002366690577525</v>
      </c>
      <c r="BE64" s="360">
        <f t="shared" si="47"/>
        <v>0.19639655520470289</v>
      </c>
      <c r="BK64" s="18"/>
      <c r="BL64" s="19"/>
    </row>
    <row r="65" spans="1:64" x14ac:dyDescent="0.2">
      <c r="G65">
        <v>56</v>
      </c>
      <c r="H65" s="548">
        <f t="shared" si="0"/>
        <v>21</v>
      </c>
      <c r="I65" s="4">
        <f t="shared" si="49"/>
        <v>1</v>
      </c>
      <c r="J65" s="360">
        <f t="shared" si="81"/>
        <v>4.4800000000000004</v>
      </c>
      <c r="K65" s="4">
        <f t="shared" si="50"/>
        <v>1.1851851851851851</v>
      </c>
      <c r="L65" s="4"/>
      <c r="M65" s="360">
        <f t="shared" si="51"/>
        <v>0.24149370016434357</v>
      </c>
      <c r="N65" s="4">
        <f t="shared" si="52"/>
        <v>1.8322242028468825</v>
      </c>
      <c r="O65" s="4">
        <f t="shared" si="35"/>
        <v>5.3961121014234417</v>
      </c>
      <c r="P65" s="4">
        <f t="shared" si="36"/>
        <v>3.5638878985765592</v>
      </c>
      <c r="Q65" s="4">
        <f t="shared" si="53"/>
        <v>0</v>
      </c>
      <c r="R65" s="4">
        <f t="shared" si="54"/>
        <v>4.5111144736223254</v>
      </c>
      <c r="S65" s="360">
        <f t="shared" si="55"/>
        <v>0.18315138414712345</v>
      </c>
      <c r="T65" s="360">
        <f t="shared" si="56"/>
        <v>0.3</v>
      </c>
      <c r="U65" s="360">
        <f t="shared" si="57"/>
        <v>0.49033583915822504</v>
      </c>
      <c r="V65" s="4">
        <f t="shared" si="37"/>
        <v>0.52891756836469761</v>
      </c>
      <c r="W65" s="360">
        <f t="shared" si="58"/>
        <v>5.5950758824964918E-4</v>
      </c>
      <c r="X65" s="360">
        <f t="shared" si="38"/>
        <v>5.5950758824964918E-4</v>
      </c>
      <c r="Y65" s="4">
        <f t="shared" si="59"/>
        <v>1.9307068919432682</v>
      </c>
      <c r="Z65" s="360">
        <f t="shared" si="12"/>
        <v>3.7276291025972346E-3</v>
      </c>
      <c r="AA65" s="541">
        <f t="shared" si="39"/>
        <v>3.7276291025972346E-3</v>
      </c>
      <c r="AB65" s="360">
        <f t="shared" si="60"/>
        <v>2.2168522590954636</v>
      </c>
      <c r="AC65" s="360">
        <f t="shared" si="61"/>
        <v>2.9486603631939966E-2</v>
      </c>
      <c r="AD65" s="360">
        <f t="shared" si="62"/>
        <v>0.35534957882623713</v>
      </c>
      <c r="AE65" s="360">
        <f t="shared" si="63"/>
        <v>0.63444464999999983</v>
      </c>
      <c r="AF65" s="360">
        <f t="shared" si="64"/>
        <v>0</v>
      </c>
      <c r="AG65" s="360">
        <f t="shared" si="65"/>
        <v>1.023869779697606</v>
      </c>
      <c r="AH65" s="360">
        <f t="shared" si="66"/>
        <v>3.928831869076121</v>
      </c>
      <c r="AI65" s="360">
        <f t="shared" si="67"/>
        <v>3.8589299638670416E-2</v>
      </c>
      <c r="AJ65" s="360">
        <f t="shared" si="68"/>
        <v>0.1843968</v>
      </c>
      <c r="AK65" s="360">
        <f t="shared" si="69"/>
        <v>0.22472046067707194</v>
      </c>
      <c r="AL65" s="360">
        <f t="shared" si="70"/>
        <v>0.1843968</v>
      </c>
      <c r="AM65" s="360">
        <f t="shared" si="71"/>
        <v>1.4817600000000002</v>
      </c>
      <c r="AN65" s="360">
        <f t="shared" si="72"/>
        <v>0.20350153794124828</v>
      </c>
      <c r="AO65" s="360">
        <f t="shared" si="73"/>
        <v>7.3499999999999998E-4</v>
      </c>
      <c r="AP65" s="360">
        <f t="shared" si="74"/>
        <v>0.34650000000000003</v>
      </c>
      <c r="AQ65" s="360">
        <f t="shared" si="75"/>
        <v>1.3167</v>
      </c>
      <c r="AR65" s="360">
        <f t="shared" si="76"/>
        <v>1.1088</v>
      </c>
      <c r="AS65" s="360">
        <f t="shared" si="48"/>
        <v>0.34723500000000002</v>
      </c>
      <c r="AT65" s="360">
        <f t="shared" si="41"/>
        <v>3.960106554164998</v>
      </c>
      <c r="AU65">
        <f t="shared" si="77"/>
        <v>22.400000000000002</v>
      </c>
      <c r="AV65" s="542">
        <f t="shared" si="42"/>
        <v>0.8497689474043767</v>
      </c>
      <c r="AW65" s="551">
        <f t="shared" si="78"/>
        <v>100.0915689848803</v>
      </c>
      <c r="AX65" s="551">
        <f t="shared" si="79"/>
        <v>27.120647905728738</v>
      </c>
      <c r="AY65" s="9"/>
      <c r="AZ65" s="4">
        <f t="shared" si="43"/>
        <v>84.976894740437672</v>
      </c>
      <c r="BA65" s="360">
        <f t="shared" si="80"/>
        <v>0.49033583915822504</v>
      </c>
      <c r="BB65" s="360">
        <f t="shared" si="44"/>
        <v>2.730350240374678</v>
      </c>
      <c r="BC65" s="360">
        <f t="shared" si="45"/>
        <v>2.0018313796976059</v>
      </c>
      <c r="BD65" s="360">
        <f t="shared" si="46"/>
        <v>0.71370126067707207</v>
      </c>
      <c r="BE65" s="360">
        <f t="shared" si="47"/>
        <v>0.20350153794124828</v>
      </c>
      <c r="BK65" s="18"/>
      <c r="BL65" s="19"/>
    </row>
    <row r="66" spans="1:64" x14ac:dyDescent="0.2">
      <c r="A66" s="11" t="s">
        <v>77</v>
      </c>
      <c r="B66" s="31"/>
      <c r="C66" s="31"/>
      <c r="G66">
        <v>57</v>
      </c>
      <c r="H66" s="548">
        <f t="shared" si="0"/>
        <v>21</v>
      </c>
      <c r="I66" s="4">
        <f t="shared" si="49"/>
        <v>1</v>
      </c>
      <c r="J66" s="360">
        <f t="shared" si="81"/>
        <v>4.5599999999999996</v>
      </c>
      <c r="K66" s="4">
        <f t="shared" si="50"/>
        <v>1.2063492063492061</v>
      </c>
      <c r="L66" s="4"/>
      <c r="M66" s="360">
        <f t="shared" si="51"/>
        <v>0.24155430145261639</v>
      </c>
      <c r="N66" s="4">
        <f t="shared" si="52"/>
        <v>1.8325459566773823</v>
      </c>
      <c r="O66" s="4">
        <f t="shared" si="35"/>
        <v>5.4762729783386908</v>
      </c>
      <c r="P66" s="4">
        <f t="shared" si="36"/>
        <v>3.6437270216613085</v>
      </c>
      <c r="Q66" s="4">
        <f t="shared" si="53"/>
        <v>0</v>
      </c>
      <c r="R66" s="4">
        <f t="shared" si="54"/>
        <v>4.5905829757171963</v>
      </c>
      <c r="S66" s="360">
        <f t="shared" si="55"/>
        <v>0.18966106851250095</v>
      </c>
      <c r="T66" s="360">
        <f t="shared" si="56"/>
        <v>0.3</v>
      </c>
      <c r="U66" s="360">
        <f t="shared" si="57"/>
        <v>0.49720510462555306</v>
      </c>
      <c r="V66" s="4">
        <f t="shared" si="37"/>
        <v>0.5290104506950235</v>
      </c>
      <c r="W66" s="360">
        <f t="shared" si="58"/>
        <v>5.5970411388910383E-4</v>
      </c>
      <c r="X66" s="360">
        <f t="shared" si="38"/>
        <v>5.5970411388910383E-4</v>
      </c>
      <c r="Y66" s="4">
        <f t="shared" si="59"/>
        <v>1.9648865319246671</v>
      </c>
      <c r="Z66" s="360">
        <f t="shared" si="12"/>
        <v>3.8607790833389459E-3</v>
      </c>
      <c r="AA66" s="541">
        <f t="shared" si="39"/>
        <v>3.8607790833389459E-3</v>
      </c>
      <c r="AB66" s="360">
        <f t="shared" si="60"/>
        <v>2.256187711785179</v>
      </c>
      <c r="AC66" s="360">
        <f t="shared" si="61"/>
        <v>3.0542297944862649E-2</v>
      </c>
      <c r="AD66" s="360">
        <f t="shared" si="62"/>
        <v>0.36169510701956264</v>
      </c>
      <c r="AE66" s="360">
        <f t="shared" si="63"/>
        <v>0.63444464999999983</v>
      </c>
      <c r="AF66" s="360">
        <f t="shared" si="64"/>
        <v>0</v>
      </c>
      <c r="AG66" s="360">
        <f t="shared" si="65"/>
        <v>1.0314705842138974</v>
      </c>
      <c r="AH66" s="360">
        <f t="shared" si="66"/>
        <v>3.9978830730943229</v>
      </c>
      <c r="AI66" s="360">
        <f t="shared" si="67"/>
        <v>3.9957672665335266E-2</v>
      </c>
      <c r="AJ66" s="360">
        <f t="shared" si="68"/>
        <v>0.18768959999999996</v>
      </c>
      <c r="AK66" s="360">
        <f t="shared" si="69"/>
        <v>0.22948117943548282</v>
      </c>
      <c r="AL66" s="360">
        <f t="shared" si="70"/>
        <v>0.18768959999999996</v>
      </c>
      <c r="AM66" s="360">
        <f t="shared" si="71"/>
        <v>1.5082199999999999</v>
      </c>
      <c r="AN66" s="360">
        <f t="shared" si="72"/>
        <v>0.2107345205694455</v>
      </c>
      <c r="AO66" s="360">
        <f t="shared" si="73"/>
        <v>7.3499999999999998E-4</v>
      </c>
      <c r="AP66" s="360">
        <f t="shared" si="74"/>
        <v>0.34650000000000003</v>
      </c>
      <c r="AQ66" s="360">
        <f t="shared" si="75"/>
        <v>1.3167</v>
      </c>
      <c r="AR66" s="360">
        <f t="shared" si="76"/>
        <v>1.1088</v>
      </c>
      <c r="AS66" s="360">
        <f t="shared" si="48"/>
        <v>0.34723500000000002</v>
      </c>
      <c r="AT66" s="360">
        <f t="shared" si="41"/>
        <v>4.0164564720416065</v>
      </c>
      <c r="AU66">
        <f t="shared" si="77"/>
        <v>22.799999999999997</v>
      </c>
      <c r="AV66" s="542">
        <f t="shared" si="42"/>
        <v>0.85022419064841404</v>
      </c>
      <c r="AW66" s="551">
        <f t="shared" si="78"/>
        <v>101.34478921069487</v>
      </c>
      <c r="AX66" s="551">
        <f t="shared" si="79"/>
        <v>27.633363618548348</v>
      </c>
      <c r="AY66" s="9"/>
      <c r="AZ66" s="4">
        <f t="shared" si="43"/>
        <v>85.022419064841401</v>
      </c>
      <c r="BA66" s="360">
        <f t="shared" si="80"/>
        <v>0.49720510462555306</v>
      </c>
      <c r="BB66" s="360">
        <f t="shared" si="44"/>
        <v>2.7691717636493802</v>
      </c>
      <c r="BC66" s="360">
        <f t="shared" si="45"/>
        <v>2.0268957842138975</v>
      </c>
      <c r="BD66" s="360">
        <f t="shared" si="46"/>
        <v>0.7271937794354828</v>
      </c>
      <c r="BE66" s="360">
        <f t="shared" si="47"/>
        <v>0.2107345205694455</v>
      </c>
      <c r="BK66" s="18"/>
      <c r="BL66" s="19"/>
    </row>
    <row r="67" spans="1:64" x14ac:dyDescent="0.2">
      <c r="A67" s="14" t="s">
        <v>55</v>
      </c>
      <c r="B67" s="15" t="s">
        <v>7</v>
      </c>
      <c r="C67" s="15" t="s">
        <v>76</v>
      </c>
      <c r="G67">
        <v>58</v>
      </c>
      <c r="H67" s="548">
        <f t="shared" si="0"/>
        <v>21</v>
      </c>
      <c r="I67" s="4">
        <f t="shared" si="49"/>
        <v>1</v>
      </c>
      <c r="J67" s="360">
        <f t="shared" si="81"/>
        <v>4.6399999999999997</v>
      </c>
      <c r="K67" s="4">
        <f t="shared" si="50"/>
        <v>1.2275132275132274</v>
      </c>
      <c r="L67" s="4"/>
      <c r="M67" s="360">
        <f t="shared" si="51"/>
        <v>0.24161489974398676</v>
      </c>
      <c r="N67" s="4">
        <f t="shared" si="52"/>
        <v>1.8328676185150505</v>
      </c>
      <c r="O67" s="4">
        <f t="shared" si="35"/>
        <v>5.5564338092575252</v>
      </c>
      <c r="P67" s="4">
        <f t="shared" si="36"/>
        <v>3.7235661907424742</v>
      </c>
      <c r="Q67" s="4">
        <f t="shared" si="53"/>
        <v>0</v>
      </c>
      <c r="R67" s="4">
        <f t="shared" si="54"/>
        <v>4.6700696257033201</v>
      </c>
      <c r="S67" s="360">
        <f t="shared" si="55"/>
        <v>0.19628595278025071</v>
      </c>
      <c r="T67" s="360">
        <f t="shared" si="56"/>
        <v>0.3</v>
      </c>
      <c r="U67" s="360">
        <f t="shared" si="57"/>
        <v>0.50420339630332556</v>
      </c>
      <c r="V67" s="4">
        <f t="shared" si="37"/>
        <v>0.52910330646930637</v>
      </c>
      <c r="W67" s="360">
        <f t="shared" si="58"/>
        <v>5.5990061783350539E-4</v>
      </c>
      <c r="X67" s="360">
        <f t="shared" si="38"/>
        <v>5.5990061783350539E-4</v>
      </c>
      <c r="Y67" s="4">
        <f t="shared" si="59"/>
        <v>1.9990796938951021</v>
      </c>
      <c r="Z67" s="360">
        <f t="shared" si="12"/>
        <v>3.9963196225437352E-3</v>
      </c>
      <c r="AA67" s="541">
        <f t="shared" si="39"/>
        <v>3.9963196225437352E-3</v>
      </c>
      <c r="AB67" s="360">
        <f t="shared" si="60"/>
        <v>2.2955418339360221</v>
      </c>
      <c r="AC67" s="360">
        <f t="shared" si="61"/>
        <v>3.1617073868102134E-2</v>
      </c>
      <c r="AD67" s="360">
        <f t="shared" si="62"/>
        <v>0.36804063521288838</v>
      </c>
      <c r="AE67" s="360">
        <f t="shared" si="63"/>
        <v>0.63444464999999983</v>
      </c>
      <c r="AF67" s="360">
        <f t="shared" si="64"/>
        <v>0</v>
      </c>
      <c r="AG67" s="360">
        <f t="shared" si="65"/>
        <v>1.0390960418804427</v>
      </c>
      <c r="AH67" s="360">
        <f t="shared" si="66"/>
        <v>4.0669445530479509</v>
      </c>
      <c r="AI67" s="360">
        <f t="shared" si="67"/>
        <v>4.1350094993915995E-2</v>
      </c>
      <c r="AJ67" s="360">
        <f t="shared" si="68"/>
        <v>0.19098239999999997</v>
      </c>
      <c r="AK67" s="360">
        <f t="shared" si="69"/>
        <v>0.23426991161380539</v>
      </c>
      <c r="AL67" s="360">
        <f t="shared" si="70"/>
        <v>0.19098239999999997</v>
      </c>
      <c r="AM67" s="360">
        <f t="shared" si="71"/>
        <v>1.5346799999999998</v>
      </c>
      <c r="AN67" s="360">
        <f t="shared" si="72"/>
        <v>0.21809550308916748</v>
      </c>
      <c r="AO67" s="360">
        <f t="shared" si="73"/>
        <v>7.3499999999999998E-4</v>
      </c>
      <c r="AP67" s="360">
        <f t="shared" si="74"/>
        <v>0.34650000000000003</v>
      </c>
      <c r="AQ67" s="360">
        <f t="shared" si="75"/>
        <v>1.3167</v>
      </c>
      <c r="AR67" s="360">
        <f t="shared" si="76"/>
        <v>1.1088</v>
      </c>
      <c r="AS67" s="360">
        <f t="shared" si="48"/>
        <v>0.34723500000000002</v>
      </c>
      <c r="AT67" s="360">
        <f t="shared" si="41"/>
        <v>4.0731184731271179</v>
      </c>
      <c r="AU67">
        <f t="shared" si="77"/>
        <v>23.2</v>
      </c>
      <c r="AV67" s="542">
        <f t="shared" si="42"/>
        <v>0.85065446486655116</v>
      </c>
      <c r="AW67" s="551">
        <f t="shared" si="78"/>
        <v>102.59924209402213</v>
      </c>
      <c r="AX67" s="551">
        <f t="shared" si="79"/>
        <v>28.147143841324606</v>
      </c>
      <c r="AY67" s="9"/>
      <c r="AZ67" s="4">
        <f t="shared" si="43"/>
        <v>85.065446486655119</v>
      </c>
      <c r="BA67" s="360">
        <f t="shared" si="80"/>
        <v>0.50420339630332556</v>
      </c>
      <c r="BB67" s="360">
        <f t="shared" si="44"/>
        <v>2.8080459534942479</v>
      </c>
      <c r="BC67" s="360">
        <f t="shared" si="45"/>
        <v>2.0519848418804427</v>
      </c>
      <c r="BD67" s="360">
        <f t="shared" si="46"/>
        <v>0.74071431161380541</v>
      </c>
      <c r="BE67" s="360">
        <f t="shared" si="47"/>
        <v>0.21809550308916748</v>
      </c>
      <c r="BK67" s="18"/>
      <c r="BL67" s="19"/>
    </row>
    <row r="68" spans="1:64" x14ac:dyDescent="0.2">
      <c r="A68" s="32" t="s">
        <v>208</v>
      </c>
      <c r="B68" s="449">
        <f>D2_Vinmin</f>
        <v>0.25</v>
      </c>
      <c r="C68" s="21" t="s">
        <v>18</v>
      </c>
      <c r="G68">
        <v>59</v>
      </c>
      <c r="H68" s="548">
        <f t="shared" si="0"/>
        <v>21</v>
      </c>
      <c r="I68" s="4">
        <f t="shared" si="49"/>
        <v>1</v>
      </c>
      <c r="J68" s="360">
        <f t="shared" si="81"/>
        <v>4.72</v>
      </c>
      <c r="K68" s="4">
        <f t="shared" si="50"/>
        <v>1.2486772486772484</v>
      </c>
      <c r="L68" s="4"/>
      <c r="M68" s="360">
        <f t="shared" si="51"/>
        <v>0.24167549503867683</v>
      </c>
      <c r="N68" s="4">
        <f t="shared" si="52"/>
        <v>1.8331891883667102</v>
      </c>
      <c r="O68" s="4">
        <f t="shared" si="35"/>
        <v>5.6365945941833546</v>
      </c>
      <c r="P68" s="4">
        <f t="shared" si="36"/>
        <v>3.8034054058166449</v>
      </c>
      <c r="Q68" s="4">
        <f t="shared" si="53"/>
        <v>0</v>
      </c>
      <c r="R68" s="4">
        <f t="shared" si="54"/>
        <v>4.7495735124354814</v>
      </c>
      <c r="S68" s="360">
        <f t="shared" si="55"/>
        <v>0.20302603695025845</v>
      </c>
      <c r="T68" s="360">
        <f t="shared" si="56"/>
        <v>0.3</v>
      </c>
      <c r="U68" s="360">
        <f t="shared" si="57"/>
        <v>0.51133111940970577</v>
      </c>
      <c r="V68" s="4">
        <f t="shared" si="37"/>
        <v>0.52919613568951585</v>
      </c>
      <c r="W68" s="360">
        <f t="shared" si="58"/>
        <v>5.60097100057433E-4</v>
      </c>
      <c r="X68" s="360">
        <f t="shared" si="38"/>
        <v>5.60097100057433E-4</v>
      </c>
      <c r="Y68" s="4">
        <f t="shared" si="59"/>
        <v>2.0332859865861104</v>
      </c>
      <c r="Z68" s="360">
        <f t="shared" si="12"/>
        <v>4.1342519032474519E-3</v>
      </c>
      <c r="AA68" s="541">
        <f t="shared" si="39"/>
        <v>4.1342519032474519E-3</v>
      </c>
      <c r="AB68" s="360">
        <f t="shared" si="60"/>
        <v>2.3349141784298437</v>
      </c>
      <c r="AC68" s="360">
        <f t="shared" si="61"/>
        <v>3.2710945323796273E-2</v>
      </c>
      <c r="AD68" s="360">
        <f t="shared" si="62"/>
        <v>0.374386163406214</v>
      </c>
      <c r="AE68" s="360">
        <f t="shared" si="63"/>
        <v>0.63444464999999983</v>
      </c>
      <c r="AF68" s="360">
        <f t="shared" si="64"/>
        <v>0</v>
      </c>
      <c r="AG68" s="360">
        <f t="shared" si="65"/>
        <v>1.0467462477402234</v>
      </c>
      <c r="AH68" s="360">
        <f t="shared" si="66"/>
        <v>4.13601551367932</v>
      </c>
      <c r="AI68" s="360">
        <f t="shared" si="67"/>
        <v>4.2766560823490021E-2</v>
      </c>
      <c r="AJ68" s="360">
        <f t="shared" si="68"/>
        <v>0.19427519999999995</v>
      </c>
      <c r="AK68" s="360">
        <f t="shared" si="69"/>
        <v>0.23908674438263602</v>
      </c>
      <c r="AL68" s="360">
        <f t="shared" si="70"/>
        <v>0.19427519999999995</v>
      </c>
      <c r="AM68" s="360">
        <f t="shared" si="71"/>
        <v>1.5611399999999998</v>
      </c>
      <c r="AN68" s="360">
        <f t="shared" si="72"/>
        <v>0.22558448550028717</v>
      </c>
      <c r="AO68" s="360">
        <f t="shared" si="73"/>
        <v>7.3499999999999998E-4</v>
      </c>
      <c r="AP68" s="360">
        <f t="shared" si="74"/>
        <v>0.34650000000000003</v>
      </c>
      <c r="AQ68" s="360">
        <f t="shared" si="75"/>
        <v>1.3167</v>
      </c>
      <c r="AR68" s="360">
        <f t="shared" si="76"/>
        <v>1.1088</v>
      </c>
      <c r="AS68" s="360">
        <f t="shared" si="48"/>
        <v>0.34723500000000002</v>
      </c>
      <c r="AT68" s="360">
        <f t="shared" si="41"/>
        <v>4.130093146036157</v>
      </c>
      <c r="AU68">
        <f t="shared" si="77"/>
        <v>23.599999999999998</v>
      </c>
      <c r="AV68" s="542">
        <f t="shared" si="42"/>
        <v>0.85106097104377998</v>
      </c>
      <c r="AW68" s="551">
        <f t="shared" si="78"/>
        <v>103.85493238701117</v>
      </c>
      <c r="AX68" s="551">
        <f t="shared" si="79"/>
        <v>28.661991886540168</v>
      </c>
      <c r="AY68" s="9"/>
      <c r="AZ68" s="4">
        <f t="shared" si="43"/>
        <v>85.106097104377994</v>
      </c>
      <c r="BA68" s="360">
        <f t="shared" si="80"/>
        <v>0.51133111940970577</v>
      </c>
      <c r="BB68" s="360">
        <f t="shared" si="44"/>
        <v>2.8469729921228595</v>
      </c>
      <c r="BC68" s="360">
        <f t="shared" si="45"/>
        <v>2.0770986477402236</v>
      </c>
      <c r="BD68" s="360">
        <f t="shared" si="46"/>
        <v>0.75426294438263597</v>
      </c>
      <c r="BE68" s="360">
        <f t="shared" si="47"/>
        <v>0.22558448550028717</v>
      </c>
      <c r="BK68" s="18"/>
      <c r="BL68" s="19"/>
    </row>
    <row r="69" spans="1:64" x14ac:dyDescent="0.2">
      <c r="A69" s="23" t="s">
        <v>78</v>
      </c>
      <c r="B69" s="449">
        <f>1-B68</f>
        <v>0.75</v>
      </c>
      <c r="C69" s="21" t="s">
        <v>18</v>
      </c>
      <c r="G69">
        <v>60</v>
      </c>
      <c r="H69" s="548">
        <f t="shared" si="0"/>
        <v>21</v>
      </c>
      <c r="I69" s="4">
        <f t="shared" si="49"/>
        <v>1</v>
      </c>
      <c r="J69" s="360">
        <f t="shared" si="81"/>
        <v>4.8</v>
      </c>
      <c r="K69" s="4">
        <f t="shared" si="50"/>
        <v>1.2698412698412698</v>
      </c>
      <c r="L69" s="4"/>
      <c r="M69" s="360">
        <f t="shared" si="51"/>
        <v>0.24173608733690896</v>
      </c>
      <c r="N69" s="4">
        <f t="shared" si="52"/>
        <v>1.8335106662391838</v>
      </c>
      <c r="O69" s="4">
        <f t="shared" si="35"/>
        <v>5.7167553331195915</v>
      </c>
      <c r="P69" s="4">
        <f t="shared" si="36"/>
        <v>3.8832446668804081</v>
      </c>
      <c r="Q69" s="4">
        <f t="shared" si="53"/>
        <v>0</v>
      </c>
      <c r="R69" s="4">
        <f t="shared" si="54"/>
        <v>4.8290937845798503</v>
      </c>
      <c r="S69" s="360">
        <f t="shared" si="55"/>
        <v>0.20988132102240967</v>
      </c>
      <c r="T69" s="360">
        <f t="shared" si="56"/>
        <v>0.3</v>
      </c>
      <c r="U69" s="360">
        <f t="shared" si="57"/>
        <v>0.51858868732342711</v>
      </c>
      <c r="V69" s="4">
        <f t="shared" si="37"/>
        <v>0.52928893835762147</v>
      </c>
      <c r="W69" s="360">
        <f t="shared" si="58"/>
        <v>5.6029356053547612E-4</v>
      </c>
      <c r="X69" s="360">
        <f t="shared" si="38"/>
        <v>5.6029356053547612E-4</v>
      </c>
      <c r="Y69" s="4">
        <f t="shared" si="59"/>
        <v>2.0675050442034171</v>
      </c>
      <c r="Z69" s="360">
        <f t="shared" si="12"/>
        <v>4.2745771078065735E-3</v>
      </c>
      <c r="AA69" s="541">
        <f t="shared" si="39"/>
        <v>4.2745771078065735E-3</v>
      </c>
      <c r="AB69" s="360">
        <f t="shared" si="60"/>
        <v>2.3743043273313424</v>
      </c>
      <c r="AC69" s="360">
        <f t="shared" si="61"/>
        <v>3.3823926232706032E-2</v>
      </c>
      <c r="AD69" s="360">
        <f t="shared" si="62"/>
        <v>0.38073169159953968</v>
      </c>
      <c r="AE69" s="360">
        <f t="shared" si="63"/>
        <v>0.63444464999999983</v>
      </c>
      <c r="AF69" s="360">
        <f t="shared" si="64"/>
        <v>0</v>
      </c>
      <c r="AG69" s="360">
        <f t="shared" si="65"/>
        <v>1.0544212973958047</v>
      </c>
      <c r="AH69" s="360">
        <f t="shared" si="66"/>
        <v>4.2050952119403195</v>
      </c>
      <c r="AI69" s="360">
        <f t="shared" si="67"/>
        <v>4.4207064353708504E-2</v>
      </c>
      <c r="AJ69" s="360">
        <f t="shared" si="68"/>
        <v>0.19756799999999997</v>
      </c>
      <c r="AK69" s="360">
        <f t="shared" si="69"/>
        <v>0.24393176580750164</v>
      </c>
      <c r="AL69" s="360">
        <f t="shared" si="70"/>
        <v>0.19756799999999997</v>
      </c>
      <c r="AM69" s="360">
        <f t="shared" si="71"/>
        <v>1.5876000000000001</v>
      </c>
      <c r="AN69" s="360">
        <f t="shared" si="72"/>
        <v>0.23320146780267742</v>
      </c>
      <c r="AO69" s="360">
        <f t="shared" si="73"/>
        <v>7.3499999999999998E-4</v>
      </c>
      <c r="AP69" s="360">
        <f t="shared" si="74"/>
        <v>0.34650000000000003</v>
      </c>
      <c r="AQ69" s="360">
        <f t="shared" si="75"/>
        <v>1.3167</v>
      </c>
      <c r="AR69" s="360">
        <f t="shared" si="76"/>
        <v>1.1088</v>
      </c>
      <c r="AS69" s="360">
        <f t="shared" si="48"/>
        <v>0.34723500000000002</v>
      </c>
      <c r="AT69" s="360">
        <f t="shared" si="41"/>
        <v>4.1873810889977534</v>
      </c>
      <c r="AU69">
        <f t="shared" si="77"/>
        <v>24</v>
      </c>
      <c r="AV69" s="542">
        <f t="shared" si="42"/>
        <v>0.85144483356659928</v>
      </c>
      <c r="AW69" s="551">
        <f t="shared" si="78"/>
        <v>105.11186486979022</v>
      </c>
      <c r="AX69" s="551">
        <f t="shared" si="79"/>
        <v>29.177911100685066</v>
      </c>
      <c r="AY69" s="9"/>
      <c r="AZ69" s="4">
        <f t="shared" si="43"/>
        <v>85.144483356659933</v>
      </c>
      <c r="BA69" s="360">
        <f t="shared" si="80"/>
        <v>0.51858868732342711</v>
      </c>
      <c r="BB69" s="360">
        <f t="shared" si="44"/>
        <v>2.8859530632033064</v>
      </c>
      <c r="BC69" s="360">
        <f t="shared" si="45"/>
        <v>2.1022372973958046</v>
      </c>
      <c r="BD69" s="360">
        <f t="shared" si="46"/>
        <v>0.76783976580750168</v>
      </c>
      <c r="BE69" s="360">
        <f t="shared" si="47"/>
        <v>0.23320146780267742</v>
      </c>
      <c r="BK69" s="18"/>
      <c r="BL69" s="19"/>
    </row>
    <row r="70" spans="1:64" x14ac:dyDescent="0.2">
      <c r="A70" s="33" t="s">
        <v>209</v>
      </c>
      <c r="B70" s="449">
        <f>Iripple2_Vinnom</f>
        <v>1.8621125869702722</v>
      </c>
      <c r="C70" s="21" t="s">
        <v>1</v>
      </c>
      <c r="G70">
        <v>61</v>
      </c>
      <c r="H70" s="548">
        <f t="shared" si="0"/>
        <v>21</v>
      </c>
      <c r="I70" s="4">
        <f t="shared" si="49"/>
        <v>1</v>
      </c>
      <c r="J70" s="360">
        <f t="shared" si="81"/>
        <v>4.88</v>
      </c>
      <c r="K70" s="4">
        <f t="shared" si="50"/>
        <v>1.2910052910052907</v>
      </c>
      <c r="L70" s="4"/>
      <c r="M70" s="360">
        <f t="shared" si="51"/>
        <v>0.24179667663890542</v>
      </c>
      <c r="N70" s="4">
        <f t="shared" si="52"/>
        <v>1.8338320521392946</v>
      </c>
      <c r="O70" s="4">
        <f t="shared" si="35"/>
        <v>5.7969160260696473</v>
      </c>
      <c r="P70" s="4">
        <f t="shared" si="36"/>
        <v>3.9630839739303525</v>
      </c>
      <c r="Q70" s="4">
        <f t="shared" si="53"/>
        <v>0</v>
      </c>
      <c r="R70" s="4">
        <f t="shared" si="54"/>
        <v>4.9086296457994383</v>
      </c>
      <c r="S70" s="360">
        <f t="shared" si="55"/>
        <v>0.21685180499659004</v>
      </c>
      <c r="T70" s="360">
        <f t="shared" si="56"/>
        <v>0.3</v>
      </c>
      <c r="U70" s="360">
        <f t="shared" si="57"/>
        <v>0.5259765216449529</v>
      </c>
      <c r="V70" s="4">
        <f t="shared" si="37"/>
        <v>0.52938171447559279</v>
      </c>
      <c r="W70" s="360">
        <f t="shared" si="58"/>
        <v>5.6048999924223611E-4</v>
      </c>
      <c r="X70" s="360">
        <f t="shared" si="38"/>
        <v>5.6048999924223611E-4</v>
      </c>
      <c r="Y70" s="4">
        <f t="shared" si="59"/>
        <v>2.1017365243765345</v>
      </c>
      <c r="Z70" s="360">
        <f t="shared" si="12"/>
        <v>4.4172964178983551E-3</v>
      </c>
      <c r="AA70" s="541">
        <f t="shared" si="39"/>
        <v>4.4172964178983551E-3</v>
      </c>
      <c r="AB70" s="360">
        <f t="shared" si="60"/>
        <v>2.4137118895391403</v>
      </c>
      <c r="AC70" s="360">
        <f t="shared" si="61"/>
        <v>3.4956030514215641E-2</v>
      </c>
      <c r="AD70" s="360">
        <f t="shared" si="62"/>
        <v>0.38707721979286536</v>
      </c>
      <c r="AE70" s="360">
        <f t="shared" si="63"/>
        <v>0.63444464999999983</v>
      </c>
      <c r="AF70" s="360">
        <f t="shared" si="64"/>
        <v>0</v>
      </c>
      <c r="AG70" s="360">
        <f t="shared" si="65"/>
        <v>1.0621212870131123</v>
      </c>
      <c r="AH70" s="360">
        <f t="shared" si="66"/>
        <v>4.2741829527897508</v>
      </c>
      <c r="AI70" s="360">
        <f t="shared" si="67"/>
        <v>4.5671599784796284E-2</v>
      </c>
      <c r="AJ70" s="360">
        <f t="shared" si="68"/>
        <v>0.20086079999999998</v>
      </c>
      <c r="AK70" s="360">
        <f t="shared" si="69"/>
        <v>0.24880506485408549</v>
      </c>
      <c r="AL70" s="360">
        <f t="shared" si="70"/>
        <v>0.20086079999999998</v>
      </c>
      <c r="AM70" s="360">
        <f t="shared" si="71"/>
        <v>1.6140600000000001</v>
      </c>
      <c r="AN70" s="360">
        <f t="shared" si="72"/>
        <v>0.24094644999621118</v>
      </c>
      <c r="AO70" s="360">
        <f t="shared" si="73"/>
        <v>7.3499999999999998E-4</v>
      </c>
      <c r="AP70" s="360">
        <f t="shared" si="74"/>
        <v>0.34650000000000003</v>
      </c>
      <c r="AQ70" s="360">
        <f t="shared" si="75"/>
        <v>1.3167</v>
      </c>
      <c r="AR70" s="360">
        <f t="shared" si="76"/>
        <v>1.1088</v>
      </c>
      <c r="AS70" s="360">
        <f t="shared" si="48"/>
        <v>0.34723500000000002</v>
      </c>
      <c r="AT70" s="360">
        <f t="shared" si="41"/>
        <v>4.2449829099255032</v>
      </c>
      <c r="AU70">
        <f t="shared" si="77"/>
        <v>24.4</v>
      </c>
      <c r="AV70" s="542">
        <f t="shared" si="42"/>
        <v>0.85180710621214528</v>
      </c>
      <c r="AW70" s="551">
        <f t="shared" si="78"/>
        <v>106.37004435065562</v>
      </c>
      <c r="AX70" s="551">
        <f t="shared" si="79"/>
        <v>29.69490486445525</v>
      </c>
      <c r="AY70" s="9"/>
      <c r="AZ70" s="4">
        <f t="shared" si="43"/>
        <v>85.18071062121453</v>
      </c>
      <c r="BA70" s="360">
        <f t="shared" si="80"/>
        <v>0.5259765216449529</v>
      </c>
      <c r="BB70" s="360">
        <f t="shared" si="44"/>
        <v>2.9249863518671981</v>
      </c>
      <c r="BC70" s="360">
        <f t="shared" si="45"/>
        <v>2.1274008870131125</v>
      </c>
      <c r="BD70" s="360">
        <f t="shared" si="46"/>
        <v>0.78144486485408549</v>
      </c>
      <c r="BE70" s="360">
        <f t="shared" si="47"/>
        <v>0.24094644999621118</v>
      </c>
      <c r="BK70" s="18"/>
      <c r="BL70" s="19"/>
    </row>
    <row r="71" spans="1:64" x14ac:dyDescent="0.2">
      <c r="A71" s="14" t="s">
        <v>59</v>
      </c>
      <c r="B71" s="15" t="s">
        <v>7</v>
      </c>
      <c r="C71" s="17" t="s">
        <v>76</v>
      </c>
      <c r="G71">
        <v>62</v>
      </c>
      <c r="H71" s="548">
        <f t="shared" si="0"/>
        <v>21</v>
      </c>
      <c r="I71" s="4">
        <f t="shared" si="49"/>
        <v>1</v>
      </c>
      <c r="J71" s="360">
        <f t="shared" si="81"/>
        <v>4.96</v>
      </c>
      <c r="K71" s="4">
        <f t="shared" si="50"/>
        <v>1.3121693121693121</v>
      </c>
      <c r="L71" s="4"/>
      <c r="M71" s="360">
        <f t="shared" si="51"/>
        <v>0.24185726294488841</v>
      </c>
      <c r="N71" s="4">
        <f t="shared" si="52"/>
        <v>1.8341533460738642</v>
      </c>
      <c r="O71" s="4">
        <f t="shared" si="35"/>
        <v>5.8770766730369317</v>
      </c>
      <c r="P71" s="4">
        <f t="shared" si="36"/>
        <v>4.0429233269630682</v>
      </c>
      <c r="Q71" s="4">
        <f t="shared" si="53"/>
        <v>0</v>
      </c>
      <c r="R71" s="4">
        <f t="shared" si="54"/>
        <v>4.9881803503959397</v>
      </c>
      <c r="S71" s="360">
        <f t="shared" si="55"/>
        <v>0.22393748887268541</v>
      </c>
      <c r="T71" s="360">
        <f t="shared" si="56"/>
        <v>0.3</v>
      </c>
      <c r="U71" s="360">
        <f t="shared" si="57"/>
        <v>0.53349505225899596</v>
      </c>
      <c r="V71" s="4">
        <f t="shared" si="37"/>
        <v>0.52947446404539922</v>
      </c>
      <c r="W71" s="360">
        <f t="shared" si="58"/>
        <v>5.6068641615232551E-4</v>
      </c>
      <c r="X71" s="360">
        <f t="shared" si="38"/>
        <v>5.6068641615232551E-4</v>
      </c>
      <c r="Y71" s="4">
        <f t="shared" si="59"/>
        <v>2.1359801063027222</v>
      </c>
      <c r="Z71" s="360">
        <f t="shared" si="12"/>
        <v>4.5624110145209883E-3</v>
      </c>
      <c r="AA71" s="541">
        <f t="shared" si="39"/>
        <v>4.5624110145209883E-3</v>
      </c>
      <c r="AB71" s="360">
        <f t="shared" si="60"/>
        <v>2.453136498659513</v>
      </c>
      <c r="AC71" s="360">
        <f t="shared" si="61"/>
        <v>3.6107272086332735E-2</v>
      </c>
      <c r="AD71" s="360">
        <f t="shared" si="62"/>
        <v>0.39342274798619103</v>
      </c>
      <c r="AE71" s="360">
        <f t="shared" si="63"/>
        <v>0.63444464999999983</v>
      </c>
      <c r="AF71" s="360">
        <f t="shared" si="64"/>
        <v>0</v>
      </c>
      <c r="AG71" s="360">
        <f t="shared" si="65"/>
        <v>1.0698463133252443</v>
      </c>
      <c r="AH71" s="360">
        <f t="shared" si="66"/>
        <v>4.3432780853890423</v>
      </c>
      <c r="AI71" s="360">
        <f t="shared" si="67"/>
        <v>4.7160161317551762E-2</v>
      </c>
      <c r="AJ71" s="360">
        <f t="shared" si="68"/>
        <v>0.20415359999999996</v>
      </c>
      <c r="AK71" s="360">
        <f t="shared" si="69"/>
        <v>0.25370673139352523</v>
      </c>
      <c r="AL71" s="360">
        <f t="shared" si="70"/>
        <v>0.20415359999999996</v>
      </c>
      <c r="AM71" s="360">
        <f t="shared" si="71"/>
        <v>1.64052</v>
      </c>
      <c r="AN71" s="360">
        <f t="shared" si="72"/>
        <v>0.2488194320807616</v>
      </c>
      <c r="AO71" s="360">
        <f t="shared" si="73"/>
        <v>7.3499999999999998E-4</v>
      </c>
      <c r="AP71" s="360">
        <f t="shared" si="74"/>
        <v>0.34650000000000003</v>
      </c>
      <c r="AQ71" s="360">
        <f t="shared" si="75"/>
        <v>1.3167</v>
      </c>
      <c r="AR71" s="360">
        <f t="shared" si="76"/>
        <v>1.1088</v>
      </c>
      <c r="AS71" s="360">
        <f t="shared" si="48"/>
        <v>0.34723500000000002</v>
      </c>
      <c r="AT71" s="360">
        <f t="shared" si="41"/>
        <v>4.3028992264892008</v>
      </c>
      <c r="AU71">
        <f t="shared" si="77"/>
        <v>24.8</v>
      </c>
      <c r="AV71" s="542">
        <f t="shared" si="42"/>
        <v>0.85214877758389318</v>
      </c>
      <c r="AW71" s="551">
        <f t="shared" si="78"/>
        <v>107.62947566626222</v>
      </c>
      <c r="AX71" s="551">
        <f t="shared" si="79"/>
        <v>30.212976592953957</v>
      </c>
      <c r="AY71" s="9"/>
      <c r="AZ71" s="4">
        <f t="shared" si="43"/>
        <v>85.214877758389321</v>
      </c>
      <c r="BA71" s="360">
        <f t="shared" si="80"/>
        <v>0.53349505225899596</v>
      </c>
      <c r="BB71" s="360">
        <f t="shared" si="44"/>
        <v>2.9640730447187695</v>
      </c>
      <c r="BC71" s="360">
        <f t="shared" si="45"/>
        <v>2.1525895133252444</v>
      </c>
      <c r="BD71" s="360">
        <f t="shared" si="46"/>
        <v>0.79507833139352524</v>
      </c>
      <c r="BE71" s="360">
        <f t="shared" si="47"/>
        <v>0.2488194320807616</v>
      </c>
      <c r="BK71" s="18"/>
      <c r="BL71" s="19"/>
    </row>
    <row r="72" spans="1:64" x14ac:dyDescent="0.2">
      <c r="A72" s="32" t="s">
        <v>88</v>
      </c>
      <c r="B72" s="450">
        <f>(Qgd_Q3+Qgs_Q3/2)*(RdsonDRT+Rgate3)/(VCC-Vsp_Q3)*1000000000</f>
        <v>2.5063291139240507</v>
      </c>
      <c r="C72" s="21" t="s">
        <v>75</v>
      </c>
      <c r="D72" s="114" t="s">
        <v>508</v>
      </c>
      <c r="G72">
        <v>63</v>
      </c>
      <c r="H72" s="548">
        <f t="shared" si="0"/>
        <v>21</v>
      </c>
      <c r="I72" s="4">
        <f t="shared" si="49"/>
        <v>1</v>
      </c>
      <c r="J72" s="360">
        <f t="shared" si="81"/>
        <v>5.04</v>
      </c>
      <c r="K72" s="4">
        <f t="shared" si="50"/>
        <v>1.333333333333333</v>
      </c>
      <c r="L72" s="4"/>
      <c r="M72" s="360">
        <f t="shared" si="51"/>
        <v>0.24191784625508014</v>
      </c>
      <c r="N72" s="4">
        <f t="shared" si="52"/>
        <v>1.8344745480497131</v>
      </c>
      <c r="O72" s="4">
        <f t="shared" si="35"/>
        <v>5.9572372740248563</v>
      </c>
      <c r="P72" s="4">
        <f t="shared" si="36"/>
        <v>4.1227627259751438</v>
      </c>
      <c r="Q72" s="4">
        <f t="shared" si="53"/>
        <v>0</v>
      </c>
      <c r="R72" s="4">
        <f t="shared" si="54"/>
        <v>5.0677451993584075</v>
      </c>
      <c r="S72" s="360">
        <f t="shared" si="55"/>
        <v>0.23113837265058165</v>
      </c>
      <c r="T72" s="360">
        <f t="shared" si="56"/>
        <v>0.3</v>
      </c>
      <c r="U72" s="360">
        <f t="shared" si="57"/>
        <v>0.54114471739841585</v>
      </c>
      <c r="V72" s="4">
        <f t="shared" si="37"/>
        <v>0.52956718706900952</v>
      </c>
      <c r="W72" s="360">
        <f t="shared" si="58"/>
        <v>5.6088281124036662E-4</v>
      </c>
      <c r="X72" s="360">
        <f t="shared" si="38"/>
        <v>5.6088281124036662E-4</v>
      </c>
      <c r="Y72" s="4">
        <f t="shared" si="59"/>
        <v>2.1702354890642059</v>
      </c>
      <c r="Z72" s="360">
        <f t="shared" si="12"/>
        <v>4.7099220779937539E-3</v>
      </c>
      <c r="AA72" s="541">
        <f t="shared" si="39"/>
        <v>4.7099220779937539E-3</v>
      </c>
      <c r="AB72" s="360">
        <f t="shared" si="60"/>
        <v>2.4925778110786081</v>
      </c>
      <c r="AC72" s="360">
        <f t="shared" si="61"/>
        <v>3.7277664865688551E-2</v>
      </c>
      <c r="AD72" s="360">
        <f t="shared" si="62"/>
        <v>0.39976827617951671</v>
      </c>
      <c r="AE72" s="360">
        <f t="shared" si="63"/>
        <v>0.63444464999999983</v>
      </c>
      <c r="AF72" s="360">
        <f t="shared" si="64"/>
        <v>0</v>
      </c>
      <c r="AG72" s="360">
        <f t="shared" si="65"/>
        <v>1.0775964736363137</v>
      </c>
      <c r="AH72" s="360">
        <f t="shared" si="66"/>
        <v>4.4123799996531075</v>
      </c>
      <c r="AI72" s="360">
        <f t="shared" si="67"/>
        <v>4.8672743153346895E-2</v>
      </c>
      <c r="AJ72" s="360">
        <f t="shared" si="68"/>
        <v>0.20744639999999998</v>
      </c>
      <c r="AK72" s="360">
        <f t="shared" si="69"/>
        <v>0.25863685620778498</v>
      </c>
      <c r="AL72" s="360">
        <f t="shared" si="70"/>
        <v>0.20744639999999998</v>
      </c>
      <c r="AM72" s="360">
        <f t="shared" si="71"/>
        <v>1.6669799999999999</v>
      </c>
      <c r="AN72" s="360">
        <f t="shared" si="72"/>
        <v>0.25682041405620187</v>
      </c>
      <c r="AO72" s="360">
        <f t="shared" si="73"/>
        <v>7.3499999999999998E-4</v>
      </c>
      <c r="AP72" s="360">
        <f t="shared" si="74"/>
        <v>0.34650000000000003</v>
      </c>
      <c r="AQ72" s="360">
        <f t="shared" si="75"/>
        <v>1.3167</v>
      </c>
      <c r="AR72" s="360">
        <f t="shared" si="76"/>
        <v>1.1088</v>
      </c>
      <c r="AS72" s="360">
        <f t="shared" si="48"/>
        <v>0.34723500000000002</v>
      </c>
      <c r="AT72" s="360">
        <f t="shared" si="41"/>
        <v>4.3611306661879512</v>
      </c>
      <c r="AU72">
        <f t="shared" si="77"/>
        <v>25.2</v>
      </c>
      <c r="AV72" s="542">
        <f t="shared" si="42"/>
        <v>0.85247077605268273</v>
      </c>
      <c r="AW72" s="551">
        <f t="shared" si="78"/>
        <v>108.89016368181568</v>
      </c>
      <c r="AX72" s="551">
        <f t="shared" si="79"/>
        <v>30.732129735895832</v>
      </c>
      <c r="AY72" s="9"/>
      <c r="AZ72" s="4">
        <f t="shared" si="43"/>
        <v>85.247077605268274</v>
      </c>
      <c r="BA72" s="360">
        <f t="shared" si="80"/>
        <v>0.54114471739841585</v>
      </c>
      <c r="BB72" s="360">
        <f t="shared" si="44"/>
        <v>3.0032133298440984</v>
      </c>
      <c r="BC72" s="360">
        <f t="shared" si="45"/>
        <v>2.1778032736363135</v>
      </c>
      <c r="BD72" s="360">
        <f t="shared" si="46"/>
        <v>0.808740256207785</v>
      </c>
      <c r="BE72" s="360">
        <f t="shared" si="47"/>
        <v>0.25682041405620187</v>
      </c>
      <c r="BK72" s="18"/>
      <c r="BL72" s="19"/>
    </row>
    <row r="73" spans="1:64" x14ac:dyDescent="0.2">
      <c r="A73" s="33" t="s">
        <v>89</v>
      </c>
      <c r="B73" s="450">
        <f>(Qgd_Q3+Qgs_Q3/2)*(RdsonDRT2+Rgate3)/(Vsp_Q3)*1000000000</f>
        <v>1.0909090909090908</v>
      </c>
      <c r="C73" s="21" t="s">
        <v>75</v>
      </c>
      <c r="D73" s="114" t="s">
        <v>509</v>
      </c>
      <c r="G73">
        <v>64</v>
      </c>
      <c r="H73" s="548">
        <f t="shared" ref="H73:H109" si="82">Vin</f>
        <v>21</v>
      </c>
      <c r="I73" s="4">
        <f t="shared" ref="I73:I109" si="83">MODE</f>
        <v>1</v>
      </c>
      <c r="J73" s="360">
        <f t="shared" si="81"/>
        <v>5.12</v>
      </c>
      <c r="K73" s="4">
        <f t="shared" ref="K73:K104" si="84">Vout2*J73/(Vin*Efficiency)</f>
        <v>1.3544973544973544</v>
      </c>
      <c r="L73" s="4"/>
      <c r="M73" s="360">
        <f t="shared" ref="M73:M109" si="85">(Vout2+(Rdson4+Rs+Rdcr)*J73)/(Vin+(Rs+Rdson2-Rdson1)*J73)</f>
        <v>0.24197842656970286</v>
      </c>
      <c r="N73" s="4">
        <f t="shared" ref="N73:N104" si="86">(Vin-(Rdson3+Rdcr2)*J73-Vout2)*M73/(Fsw*Lo_2)</f>
        <v>1.8347956580736633</v>
      </c>
      <c r="O73" s="4">
        <f t="shared" si="35"/>
        <v>6.0373978290368315</v>
      </c>
      <c r="P73" s="4">
        <f t="shared" si="36"/>
        <v>4.2026021709631687</v>
      </c>
      <c r="Q73" s="4">
        <f t="shared" ref="Q73:Q104" si="87">IF(MIN(Vin, -P73/(Coss_Q3+Coss_Q4)*0.00000002)&lt;0, 0, MIN(Vin, -P73/(Coss_Q3+Coss_Q4)*0.00000002))</f>
        <v>0</v>
      </c>
      <c r="R73" s="4">
        <f t="shared" ref="R73:R109" si="88">SQRT(J73^2+(N73^2)/12)</f>
        <v>5.1473235367752528</v>
      </c>
      <c r="S73" s="360">
        <f t="shared" ref="S73:S104" si="89">R73^2*Rdcr2</f>
        <v>0.23845445633016443</v>
      </c>
      <c r="T73" s="360">
        <f t="shared" ref="T73:T109" si="90">Core_Loss_Ch1</f>
        <v>0.3</v>
      </c>
      <c r="U73" s="360">
        <f t="shared" ref="U73:U104" si="91">(T73+S73*(1+Ltc*(Ta-25)))/(1-S73*Ltc*ThetaCa)</f>
        <v>0.54892596370951352</v>
      </c>
      <c r="V73" s="4">
        <f t="shared" si="37"/>
        <v>0.52965988354839311</v>
      </c>
      <c r="W73" s="360">
        <f t="shared" ref="W73:W104" si="92">Cout2_ESR*V73^2</f>
        <v>5.6107918448099474E-4</v>
      </c>
      <c r="X73" s="360">
        <f t="shared" si="38"/>
        <v>5.6107918448099474E-4</v>
      </c>
      <c r="Y73" s="4">
        <f t="shared" ref="Y73:Y109" si="93">SQRT(M73*(1-M73))*SQRT(J73^2+(N73^2)/12)</f>
        <v>2.2045023901001244</v>
      </c>
      <c r="Z73" s="360">
        <f t="shared" si="12"/>
        <v>4.8598307879571612E-3</v>
      </c>
      <c r="AA73" s="541">
        <f t="shared" si="39"/>
        <v>4.8598307879571612E-3</v>
      </c>
      <c r="AB73" s="360">
        <f t="shared" ref="AB73:AB109" si="94">SQRT(M73)*SQRT(J73^2+(N73^2)/12)</f>
        <v>2.5320355042119136</v>
      </c>
      <c r="AC73" s="360">
        <f t="shared" ref="AC73:AC104" si="95">Rdson3*AB73^2</f>
        <v>3.8467222767538077E-2</v>
      </c>
      <c r="AD73" s="360">
        <f t="shared" ref="AD73:AD109" si="96">(Vin*J73/2)*Fsw*(Tr_Ch2+Tf_Ch2)</f>
        <v>0.40611380437284234</v>
      </c>
      <c r="AE73" s="360">
        <f t="shared" ref="AE73:AE109" si="97">(0.5*Coss_Q3*(Vin-Q73)^2-0.5*Coss_Q4*(Vin-Q73)^2+(Qoss_Q4*(Vin-Q73)/Vin)*Vin)*Fsw</f>
        <v>0.63444464999999983</v>
      </c>
      <c r="AF73" s="360">
        <f t="shared" ref="AF73:AF109" si="98">IF(J73&gt;N73/2,0,ABS(J73-N73/2)*Vsd_Q3*Deadtime*Fsw)</f>
        <v>0</v>
      </c>
      <c r="AG73" s="360">
        <f t="shared" ref="AG73:AG104" si="99">(AF73+AE73+AD73+AC73*(1+RdsonTopTc*Ta-RdsonTopTc*25))/(1-AC73*RdsonTopTc*ThetaJA_Q2)</f>
        <v>1.0853718658253249</v>
      </c>
      <c r="AH73" s="360">
        <f t="shared" ref="AH73:AH109" si="100">SQRT((1-M73))*SQRT(J73^2+(N73^2)/12)</f>
        <v>4.4814881231183481</v>
      </c>
      <c r="AI73" s="360">
        <f t="shared" ref="AI73:AI104" si="101">Rdson4*AH73^2</f>
        <v>5.0209339494127037E-2</v>
      </c>
      <c r="AJ73" s="360">
        <f t="shared" ref="AJ73:AJ109" si="102">IF(J73&lt;N73/2,Deadtime*Fsw*IF(VfdSky_Q4&gt;0,0,Vsd_Q4)*(J73+N73/2),2*Deadtime*Fsw*IF(VfdSky_Q4&gt;0,0,Vsd_Q4)*J73)</f>
        <v>0.21073919999999999</v>
      </c>
      <c r="AK73" s="360">
        <f t="shared" ref="AK73:AK104" si="103">(AJ73+AI73*(1+RdsonBotTc*Ta-RdsonBotTc*25))/(1-AI73*RdsonBotTc*ThetaJA_Q3)</f>
        <v>0.26359553099510052</v>
      </c>
      <c r="AL73" s="360">
        <f t="shared" ref="AL73:AL109" si="104">2*Deadtime*Fsw*IF(VfdSky_Q4&gt;0,VfdSky_Q4,Vsd_Q4)*J73</f>
        <v>0.21073919999999999</v>
      </c>
      <c r="AM73" s="360">
        <f t="shared" ref="AM73:AM109" si="105">IF(QrrSky_Q4&gt;0,QrrSky_Q4,Qrr_Q4*J73/Iout2)*Fsw*Vin</f>
        <v>1.6934400000000001</v>
      </c>
      <c r="AN73" s="360">
        <f t="shared" ref="AN73:AN109" si="106">CHOOSE(SENSING_TYPE, Rs_Ch2*R73^2, 0)</f>
        <v>0.26494939592240496</v>
      </c>
      <c r="AO73" s="360">
        <f t="shared" ref="AO73:AO109" si="107">Iq*Vin</f>
        <v>7.3499999999999998E-4</v>
      </c>
      <c r="AP73" s="360">
        <f t="shared" ref="AP73:AP109" si="108">IF(Ext_VCC=1,  (Qg_Q3+Qg_Q4)*Fsw*VCC, (Qg_Q3+Qg_Q4)*Fsw*Vin)</f>
        <v>0.34650000000000003</v>
      </c>
      <c r="AQ73" s="360">
        <f t="shared" ref="AQ73:AQ109" si="109">(Vin-VCC)*Fsw*(Qg_Q3+Qg_Q4)+(RdsonDRT+RdsonDRT2)*Fsw*Qg_Q3*VCC/(RdsonDRT+2*Rgate3+RdsonDRT2)+(RdsonDRB+RdsonDRB2)*Fsw*Qg_Q4*VCC/(RdsonDRB+2*Rgate4+RdsonDRB2)</f>
        <v>1.3167</v>
      </c>
      <c r="AR73" s="360">
        <f t="shared" ref="AR73:AR109" si="110">(Qg_Q3+Qg_Q4)*Fsw*(Vin-VCC)</f>
        <v>1.1088</v>
      </c>
      <c r="AS73" s="360">
        <f t="shared" si="48"/>
        <v>0.34723500000000002</v>
      </c>
      <c r="AT73" s="360">
        <f t="shared" si="41"/>
        <v>4.4196778664247827</v>
      </c>
      <c r="AU73">
        <f t="shared" ref="AU73:AU109" si="111">Vout2*J73</f>
        <v>25.6</v>
      </c>
      <c r="AV73" s="542">
        <f t="shared" si="42"/>
        <v>0.85277397425480272</v>
      </c>
      <c r="AW73" s="551">
        <f t="shared" ref="AW73:AW109" si="112">ThetaJA_Q1*BC73</f>
        <v>110.15211329126626</v>
      </c>
      <c r="AX73" s="551">
        <f t="shared" ref="AX73:AX109" si="113">ThetaJA_Q2*BD73</f>
        <v>31.252367777813824</v>
      </c>
      <c r="AY73" s="9"/>
      <c r="AZ73" s="4">
        <f t="shared" si="43"/>
        <v>85.277397425480274</v>
      </c>
      <c r="BA73" s="360">
        <f t="shared" ref="BA73:BA109" si="114">U73</f>
        <v>0.54892596370951352</v>
      </c>
      <c r="BB73" s="360">
        <f t="shared" si="44"/>
        <v>3.0424073968204253</v>
      </c>
      <c r="BC73" s="360">
        <f t="shared" si="45"/>
        <v>2.2030422658253253</v>
      </c>
      <c r="BD73" s="360">
        <f t="shared" si="46"/>
        <v>0.82243073099510067</v>
      </c>
      <c r="BE73" s="360">
        <f t="shared" si="47"/>
        <v>0.26494939592240496</v>
      </c>
      <c r="BK73" s="18"/>
      <c r="BL73" s="19"/>
    </row>
    <row r="74" spans="1:64" x14ac:dyDescent="0.2">
      <c r="A74" s="14" t="s">
        <v>114</v>
      </c>
      <c r="B74" s="15" t="s">
        <v>7</v>
      </c>
      <c r="C74" s="17" t="s">
        <v>76</v>
      </c>
      <c r="G74">
        <v>65</v>
      </c>
      <c r="H74" s="548">
        <f t="shared" si="82"/>
        <v>21</v>
      </c>
      <c r="I74" s="4">
        <f t="shared" si="83"/>
        <v>1</v>
      </c>
      <c r="J74" s="360">
        <f t="shared" ref="J74:J109" si="115">Iout2*G74/100</f>
        <v>5.2</v>
      </c>
      <c r="K74" s="4">
        <f t="shared" si="84"/>
        <v>1.3756613756613756</v>
      </c>
      <c r="L74" s="4"/>
      <c r="M74" s="360">
        <f t="shared" si="85"/>
        <v>0.2420390038889787</v>
      </c>
      <c r="N74" s="4">
        <f t="shared" si="86"/>
        <v>1.8351166761525328</v>
      </c>
      <c r="O74" s="4">
        <f t="shared" ref="O74:O109" si="116">J74+N74/2</f>
        <v>6.1175583380762664</v>
      </c>
      <c r="P74" s="4">
        <f t="shared" ref="P74:P109" si="117">J74-N74/2</f>
        <v>4.282441661923734</v>
      </c>
      <c r="Q74" s="4">
        <f t="shared" si="87"/>
        <v>0</v>
      </c>
      <c r="R74" s="4">
        <f t="shared" si="88"/>
        <v>5.2269147465712917</v>
      </c>
      <c r="S74" s="360">
        <f t="shared" si="89"/>
        <v>0.24588573991131987</v>
      </c>
      <c r="T74" s="360">
        <f t="shared" si="90"/>
        <v>0.3</v>
      </c>
      <c r="U74" s="360">
        <f t="shared" si="91"/>
        <v>0.55683924631873938</v>
      </c>
      <c r="V74" s="4">
        <f t="shared" ref="V74:V109" si="118">N74/SQRT(12)</f>
        <v>0.52975255348551809</v>
      </c>
      <c r="W74" s="360">
        <f t="shared" si="92"/>
        <v>5.6127553584885343E-4</v>
      </c>
      <c r="X74" s="360">
        <f t="shared" ref="X74:X109" si="119">W74</f>
        <v>5.6127553584885343E-4</v>
      </c>
      <c r="Y74" s="4">
        <f t="shared" si="93"/>
        <v>2.2387805438169077</v>
      </c>
      <c r="Z74" s="360">
        <f t="shared" ref="Z74:Z109" si="120">RCinEsr*Y74^2</f>
        <v>5.0121383233731297E-3</v>
      </c>
      <c r="AA74" s="541">
        <f t="shared" ref="AA74:AA109" si="121">Z74</f>
        <v>5.0121383233731297E-3</v>
      </c>
      <c r="AB74" s="360">
        <f t="shared" si="94"/>
        <v>2.571509274912311</v>
      </c>
      <c r="AC74" s="360">
        <f t="shared" si="95"/>
        <v>3.9675959705760239E-2</v>
      </c>
      <c r="AD74" s="360">
        <f t="shared" si="96"/>
        <v>0.41245933256616801</v>
      </c>
      <c r="AE74" s="360">
        <f t="shared" si="97"/>
        <v>0.63444464999999983</v>
      </c>
      <c r="AF74" s="360">
        <f t="shared" si="98"/>
        <v>0</v>
      </c>
      <c r="AG74" s="360">
        <f t="shared" si="99"/>
        <v>1.0931725883500847</v>
      </c>
      <c r="AH74" s="360">
        <f t="shared" si="100"/>
        <v>4.5506019180943955</v>
      </c>
      <c r="AI74" s="360">
        <f t="shared" si="101"/>
        <v>5.1769944542410976E-2</v>
      </c>
      <c r="AJ74" s="360">
        <f t="shared" si="102"/>
        <v>0.21403199999999997</v>
      </c>
      <c r="AK74" s="360">
        <f t="shared" si="103"/>
        <v>0.26858284837549945</v>
      </c>
      <c r="AL74" s="360">
        <f t="shared" si="104"/>
        <v>0.21403199999999997</v>
      </c>
      <c r="AM74" s="360">
        <f t="shared" si="105"/>
        <v>1.7199</v>
      </c>
      <c r="AN74" s="360">
        <f t="shared" si="106"/>
        <v>0.27320637767924433</v>
      </c>
      <c r="AO74" s="360">
        <f t="shared" si="107"/>
        <v>7.3499999999999998E-4</v>
      </c>
      <c r="AP74" s="360">
        <f t="shared" si="108"/>
        <v>0.34650000000000003</v>
      </c>
      <c r="AQ74" s="360">
        <f t="shared" si="109"/>
        <v>1.3167</v>
      </c>
      <c r="AR74" s="360">
        <f t="shared" si="110"/>
        <v>1.1088</v>
      </c>
      <c r="AS74" s="360">
        <f t="shared" si="48"/>
        <v>0.34723500000000002</v>
      </c>
      <c r="AT74" s="360">
        <f t="shared" ref="AT74:AT109" si="122">SUM(U74,X74,AA74,AG74,AK74,AL74,AM74,AS74,AN74)</f>
        <v>4.4785414745827898</v>
      </c>
      <c r="AU74">
        <f t="shared" si="111"/>
        <v>26</v>
      </c>
      <c r="AV74" s="542">
        <f t="shared" ref="AV74:AV109" si="123">AU74/(AU74+AT74)</f>
        <v>0.8530591931927709</v>
      </c>
      <c r="AW74" s="551">
        <f t="shared" si="112"/>
        <v>111.41532941750425</v>
      </c>
      <c r="AX74" s="551">
        <f t="shared" si="113"/>
        <v>31.77369423826898</v>
      </c>
      <c r="AY74" s="9"/>
      <c r="AZ74" s="4">
        <f t="shared" ref="AZ74:AZ109" si="124">AV74*100</f>
        <v>85.305919319277095</v>
      </c>
      <c r="BA74" s="360">
        <f t="shared" si="114"/>
        <v>0.55683924631873938</v>
      </c>
      <c r="BB74" s="360">
        <f t="shared" ref="BB74:BB109" si="125">AG74+AK74+AM74</f>
        <v>3.0816554367255842</v>
      </c>
      <c r="BC74" s="360">
        <f t="shared" ref="BC74:BC109" si="126">AG74+AM74*0.66</f>
        <v>2.228306588350085</v>
      </c>
      <c r="BD74" s="360">
        <f t="shared" ref="BD74:BD109" si="127">AK74+AM74*0.33</f>
        <v>0.83614984837549944</v>
      </c>
      <c r="BE74" s="360">
        <f t="shared" ref="BE74:BE109" si="128">AN74</f>
        <v>0.27320637767924433</v>
      </c>
      <c r="BK74" s="18"/>
      <c r="BL74" s="19"/>
    </row>
    <row r="75" spans="1:64" x14ac:dyDescent="0.2">
      <c r="A75" s="34" t="s">
        <v>115</v>
      </c>
      <c r="B75" s="603">
        <f>AS9</f>
        <v>0.34723500000000002</v>
      </c>
      <c r="C75" s="78" t="s">
        <v>116</v>
      </c>
      <c r="G75">
        <v>66</v>
      </c>
      <c r="H75" s="548">
        <f t="shared" si="82"/>
        <v>21</v>
      </c>
      <c r="I75" s="4">
        <f t="shared" si="83"/>
        <v>1</v>
      </c>
      <c r="J75" s="360">
        <f t="shared" si="115"/>
        <v>5.28</v>
      </c>
      <c r="K75" s="4">
        <f t="shared" si="84"/>
        <v>1.3968253968253967</v>
      </c>
      <c r="L75" s="4"/>
      <c r="M75" s="360">
        <f t="shared" si="85"/>
        <v>0.24209957821312975</v>
      </c>
      <c r="N75" s="4">
        <f t="shared" si="86"/>
        <v>1.8354376022931409</v>
      </c>
      <c r="O75" s="4">
        <f t="shared" si="116"/>
        <v>6.1977188011465705</v>
      </c>
      <c r="P75" s="4">
        <f t="shared" si="117"/>
        <v>4.36228119885343</v>
      </c>
      <c r="Q75" s="4">
        <f t="shared" si="87"/>
        <v>0</v>
      </c>
      <c r="R75" s="4">
        <f t="shared" si="88"/>
        <v>5.3065182495360652</v>
      </c>
      <c r="S75" s="360">
        <f t="shared" si="89"/>
        <v>0.25343222339393373</v>
      </c>
      <c r="T75" s="360">
        <f t="shared" si="90"/>
        <v>0.3</v>
      </c>
      <c r="U75" s="360">
        <f t="shared" si="91"/>
        <v>0.56488502890083658</v>
      </c>
      <c r="V75" s="4">
        <f t="shared" si="118"/>
        <v>0.5298451968823531</v>
      </c>
      <c r="W75" s="360">
        <f t="shared" si="92"/>
        <v>5.6147186531859902E-4</v>
      </c>
      <c r="X75" s="360">
        <f t="shared" si="119"/>
        <v>5.6147186531859902E-4</v>
      </c>
      <c r="Y75" s="4">
        <f t="shared" si="93"/>
        <v>2.2730697003226963</v>
      </c>
      <c r="Z75" s="360">
        <f t="shared" si="120"/>
        <v>5.1668458625251119E-3</v>
      </c>
      <c r="AA75" s="541">
        <f t="shared" si="121"/>
        <v>5.1668458625251119E-3</v>
      </c>
      <c r="AB75" s="360">
        <f t="shared" si="94"/>
        <v>2.6109988380202322</v>
      </c>
      <c r="AC75" s="360">
        <f t="shared" si="95"/>
        <v>4.0903889592858018E-2</v>
      </c>
      <c r="AD75" s="360">
        <f t="shared" si="96"/>
        <v>0.41880486075949375</v>
      </c>
      <c r="AE75" s="360">
        <f t="shared" si="97"/>
        <v>0.63444464999999983</v>
      </c>
      <c r="AF75" s="360">
        <f t="shared" si="98"/>
        <v>0</v>
      </c>
      <c r="AG75" s="360">
        <f t="shared" si="99"/>
        <v>1.1009987402511439</v>
      </c>
      <c r="AH75" s="360">
        <f t="shared" si="100"/>
        <v>4.6197208790701092</v>
      </c>
      <c r="AI75" s="360">
        <f t="shared" si="101"/>
        <v>5.3354552501290751E-2</v>
      </c>
      <c r="AJ75" s="360">
        <f t="shared" si="102"/>
        <v>0.21732479999999998</v>
      </c>
      <c r="AK75" s="360">
        <f t="shared" si="103"/>
        <v>0.27359890189639607</v>
      </c>
      <c r="AL75" s="360">
        <f t="shared" si="104"/>
        <v>0.21732479999999998</v>
      </c>
      <c r="AM75" s="360">
        <f t="shared" si="105"/>
        <v>1.7463599999999999</v>
      </c>
      <c r="AN75" s="360">
        <f t="shared" si="106"/>
        <v>0.28159135932659307</v>
      </c>
      <c r="AO75" s="360">
        <f t="shared" si="107"/>
        <v>7.3499999999999998E-4</v>
      </c>
      <c r="AP75" s="360">
        <f t="shared" si="108"/>
        <v>0.34650000000000003</v>
      </c>
      <c r="AQ75" s="360">
        <f t="shared" si="109"/>
        <v>1.3167</v>
      </c>
      <c r="AR75" s="360">
        <f t="shared" si="110"/>
        <v>1.1088</v>
      </c>
      <c r="AS75" s="360">
        <f t="shared" ref="AS75:AS109" si="129">SUM(AO75:AP75)</f>
        <v>0.34723500000000002</v>
      </c>
      <c r="AT75" s="360">
        <f t="shared" si="122"/>
        <v>4.537722148102814</v>
      </c>
      <c r="AU75">
        <f t="shared" si="111"/>
        <v>26.400000000000002</v>
      </c>
      <c r="AV75" s="542">
        <f t="shared" si="123"/>
        <v>0.85332720597915523</v>
      </c>
      <c r="AW75" s="551">
        <f t="shared" si="112"/>
        <v>112.67981701255718</v>
      </c>
      <c r="AX75" s="551">
        <f t="shared" si="113"/>
        <v>32.296112672063046</v>
      </c>
      <c r="AY75" s="9"/>
      <c r="AZ75" s="4">
        <f t="shared" si="124"/>
        <v>85.332720597915525</v>
      </c>
      <c r="BA75" s="360">
        <f t="shared" si="114"/>
        <v>0.56488502890083658</v>
      </c>
      <c r="BB75" s="360">
        <f t="shared" si="125"/>
        <v>3.1209576421475398</v>
      </c>
      <c r="BC75" s="360">
        <f t="shared" si="126"/>
        <v>2.2535963402511436</v>
      </c>
      <c r="BD75" s="360">
        <f t="shared" si="127"/>
        <v>0.84989770189639602</v>
      </c>
      <c r="BE75" s="360">
        <f t="shared" si="128"/>
        <v>0.28159135932659307</v>
      </c>
      <c r="BK75" s="18"/>
      <c r="BL75" s="19"/>
    </row>
    <row r="76" spans="1:64" x14ac:dyDescent="0.2">
      <c r="A76" s="34" t="s">
        <v>119</v>
      </c>
      <c r="B76" s="604">
        <f>B75*B62</f>
        <v>10.41705</v>
      </c>
      <c r="C76" s="440" t="s">
        <v>465</v>
      </c>
      <c r="G76">
        <v>67</v>
      </c>
      <c r="H76" s="548">
        <f t="shared" si="82"/>
        <v>21</v>
      </c>
      <c r="I76" s="4">
        <f t="shared" si="83"/>
        <v>1</v>
      </c>
      <c r="J76" s="360">
        <f t="shared" si="115"/>
        <v>5.36</v>
      </c>
      <c r="K76" s="4">
        <f t="shared" si="84"/>
        <v>1.4179894179894179</v>
      </c>
      <c r="L76" s="4"/>
      <c r="M76" s="360">
        <f t="shared" si="85"/>
        <v>0.24216014954237827</v>
      </c>
      <c r="N76" s="4">
        <f t="shared" si="86"/>
        <v>1.835758436502307</v>
      </c>
      <c r="O76" s="4">
        <f t="shared" si="116"/>
        <v>6.2778792182511536</v>
      </c>
      <c r="P76" s="4">
        <f t="shared" si="117"/>
        <v>4.4421207817488471</v>
      </c>
      <c r="Q76" s="4">
        <f t="shared" si="87"/>
        <v>0</v>
      </c>
      <c r="R76" s="4">
        <f t="shared" si="88"/>
        <v>5.3861335006136315</v>
      </c>
      <c r="S76" s="360">
        <f t="shared" si="89"/>
        <v>0.26109390677789202</v>
      </c>
      <c r="T76" s="360">
        <f t="shared" si="90"/>
        <v>0.3</v>
      </c>
      <c r="U76" s="360">
        <f t="shared" si="91"/>
        <v>0.57306378374843592</v>
      </c>
      <c r="V76" s="4">
        <f t="shared" si="118"/>
        <v>0.52993781374086679</v>
      </c>
      <c r="W76" s="360">
        <f t="shared" si="92"/>
        <v>5.6166817286489924E-4</v>
      </c>
      <c r="X76" s="360">
        <f t="shared" si="119"/>
        <v>5.6166817286489924E-4</v>
      </c>
      <c r="Y76" s="4">
        <f t="shared" si="93"/>
        <v>2.3073696242731176</v>
      </c>
      <c r="Z76" s="360">
        <f t="shared" si="120"/>
        <v>5.3239545830182679E-3</v>
      </c>
      <c r="AA76" s="541">
        <f t="shared" si="121"/>
        <v>5.3239545830182679E-3</v>
      </c>
      <c r="AB76" s="360">
        <f t="shared" si="94"/>
        <v>2.6505039250413858</v>
      </c>
      <c r="AC76" s="360">
        <f t="shared" si="95"/>
        <v>4.215102633995875E-2</v>
      </c>
      <c r="AD76" s="360">
        <f t="shared" si="96"/>
        <v>0.42515038895281931</v>
      </c>
      <c r="AE76" s="360">
        <f t="shared" si="97"/>
        <v>0.63444464999999983</v>
      </c>
      <c r="AF76" s="360">
        <f t="shared" si="98"/>
        <v>0</v>
      </c>
      <c r="AG76" s="360">
        <f t="shared" si="99"/>
        <v>1.1088504211557779</v>
      </c>
      <c r="AH76" s="360">
        <f t="shared" si="100"/>
        <v>4.6888445303478186</v>
      </c>
      <c r="AI76" s="360">
        <f t="shared" si="101"/>
        <v>5.4963157574431633E-2</v>
      </c>
      <c r="AJ76" s="360">
        <f t="shared" si="102"/>
        <v>0.2206176</v>
      </c>
      <c r="AK76" s="360">
        <f t="shared" si="103"/>
        <v>0.27864378603826306</v>
      </c>
      <c r="AL76" s="360">
        <f t="shared" si="104"/>
        <v>0.2206176</v>
      </c>
      <c r="AM76" s="360">
        <f t="shared" si="105"/>
        <v>1.7728199999999998</v>
      </c>
      <c r="AN76" s="360">
        <f t="shared" si="106"/>
        <v>0.29010434086432452</v>
      </c>
      <c r="AO76" s="360">
        <f t="shared" si="107"/>
        <v>7.3499999999999998E-4</v>
      </c>
      <c r="AP76" s="360">
        <f t="shared" si="108"/>
        <v>0.34650000000000003</v>
      </c>
      <c r="AQ76" s="360">
        <f t="shared" si="109"/>
        <v>1.3167</v>
      </c>
      <c r="AR76" s="360">
        <f t="shared" si="110"/>
        <v>1.1088</v>
      </c>
      <c r="AS76" s="360">
        <f t="shared" si="129"/>
        <v>0.34723500000000002</v>
      </c>
      <c r="AT76" s="360">
        <f t="shared" si="122"/>
        <v>4.5972205545626847</v>
      </c>
      <c r="AU76">
        <f t="shared" si="111"/>
        <v>26.8</v>
      </c>
      <c r="AV76" s="542">
        <f t="shared" si="123"/>
        <v>0.853578741259165</v>
      </c>
      <c r="AW76" s="551">
        <f t="shared" si="112"/>
        <v>113.94558105778889</v>
      </c>
      <c r="AX76" s="551">
        <f t="shared" si="113"/>
        <v>32.819626669453996</v>
      </c>
      <c r="AY76" s="9"/>
      <c r="AZ76" s="4">
        <f t="shared" si="124"/>
        <v>85.357874125916496</v>
      </c>
      <c r="BA76" s="360">
        <f t="shared" si="114"/>
        <v>0.57306378374843592</v>
      </c>
      <c r="BB76" s="360">
        <f t="shared" si="125"/>
        <v>3.1603142071940411</v>
      </c>
      <c r="BC76" s="360">
        <f t="shared" si="126"/>
        <v>2.2789116211557778</v>
      </c>
      <c r="BD76" s="360">
        <f t="shared" si="127"/>
        <v>0.86367438603826296</v>
      </c>
      <c r="BE76" s="360">
        <f t="shared" si="128"/>
        <v>0.29010434086432452</v>
      </c>
      <c r="BK76" s="18"/>
      <c r="BL76" s="19"/>
    </row>
    <row r="77" spans="1:64" x14ac:dyDescent="0.2">
      <c r="A77" s="34" t="s">
        <v>210</v>
      </c>
      <c r="B77" s="604">
        <f>(Qg_Q3+Qg_Q4)*Fsw+Iq</f>
        <v>6.9334999999999994E-2</v>
      </c>
      <c r="C77" s="21" t="s">
        <v>1</v>
      </c>
      <c r="G77">
        <v>68</v>
      </c>
      <c r="H77" s="548">
        <f t="shared" si="82"/>
        <v>21</v>
      </c>
      <c r="I77" s="4">
        <f t="shared" si="83"/>
        <v>1</v>
      </c>
      <c r="J77" s="360">
        <f t="shared" si="115"/>
        <v>5.44</v>
      </c>
      <c r="K77" s="4">
        <f t="shared" si="84"/>
        <v>1.4391534391534391</v>
      </c>
      <c r="L77" s="4"/>
      <c r="M77" s="360">
        <f t="shared" si="85"/>
        <v>0.24222071787694624</v>
      </c>
      <c r="N77" s="4">
        <f t="shared" si="86"/>
        <v>1.8360791787868478</v>
      </c>
      <c r="O77" s="4">
        <f t="shared" si="116"/>
        <v>6.3580395893934245</v>
      </c>
      <c r="P77" s="4">
        <f t="shared" si="117"/>
        <v>4.5219604106065763</v>
      </c>
      <c r="Q77" s="4">
        <f t="shared" si="87"/>
        <v>0</v>
      </c>
      <c r="R77" s="4">
        <f t="shared" si="88"/>
        <v>5.4657599864274333</v>
      </c>
      <c r="S77" s="360">
        <f t="shared" si="89"/>
        <v>0.26887079006308096</v>
      </c>
      <c r="T77" s="360">
        <f t="shared" si="90"/>
        <v>0.3</v>
      </c>
      <c r="U77" s="360">
        <f t="shared" si="91"/>
        <v>0.58137599184312638</v>
      </c>
      <c r="V77" s="4">
        <f t="shared" si="118"/>
        <v>0.53003040406302682</v>
      </c>
      <c r="W77" s="360">
        <f t="shared" si="92"/>
        <v>5.6186445846243091E-4</v>
      </c>
      <c r="X77" s="360">
        <f t="shared" si="119"/>
        <v>5.6186445846243091E-4</v>
      </c>
      <c r="Y77" s="4">
        <f t="shared" si="93"/>
        <v>2.3416800938171742</v>
      </c>
      <c r="Z77" s="360">
        <f t="shared" si="120"/>
        <v>5.4834656617796093E-3</v>
      </c>
      <c r="AA77" s="541">
        <f t="shared" si="121"/>
        <v>5.4834656617796093E-3</v>
      </c>
      <c r="AB77" s="360">
        <f t="shared" si="94"/>
        <v>2.6900242829391621</v>
      </c>
      <c r="AC77" s="360">
        <f t="shared" si="95"/>
        <v>4.3417383856814123E-2</v>
      </c>
      <c r="AD77" s="360">
        <f t="shared" si="96"/>
        <v>0.43149591714614505</v>
      </c>
      <c r="AE77" s="360">
        <f t="shared" si="97"/>
        <v>0.63444464999999983</v>
      </c>
      <c r="AF77" s="360">
        <f t="shared" si="98"/>
        <v>0</v>
      </c>
      <c r="AG77" s="360">
        <f t="shared" si="99"/>
        <v>1.1167277312819972</v>
      </c>
      <c r="AH77" s="360">
        <f t="shared" si="100"/>
        <v>4.7579724238827676</v>
      </c>
      <c r="AI77" s="360">
        <f t="shared" si="101"/>
        <v>5.6595753966072151E-2</v>
      </c>
      <c r="AJ77" s="360">
        <f t="shared" si="102"/>
        <v>0.22391039999999998</v>
      </c>
      <c r="AK77" s="360">
        <f t="shared" si="103"/>
        <v>0.28371759622037895</v>
      </c>
      <c r="AL77" s="360">
        <f t="shared" si="104"/>
        <v>0.22391039999999998</v>
      </c>
      <c r="AM77" s="360">
        <f t="shared" si="105"/>
        <v>1.7992800000000002</v>
      </c>
      <c r="AN77" s="360">
        <f t="shared" si="106"/>
        <v>0.29874532229231215</v>
      </c>
      <c r="AO77" s="360">
        <f t="shared" si="107"/>
        <v>7.3499999999999998E-4</v>
      </c>
      <c r="AP77" s="360">
        <f t="shared" si="108"/>
        <v>0.34650000000000003</v>
      </c>
      <c r="AQ77" s="360">
        <f t="shared" si="109"/>
        <v>1.3167</v>
      </c>
      <c r="AR77" s="360">
        <f t="shared" si="110"/>
        <v>1.1088</v>
      </c>
      <c r="AS77" s="360">
        <f t="shared" si="129"/>
        <v>0.34723500000000002</v>
      </c>
      <c r="AT77" s="360">
        <f t="shared" si="122"/>
        <v>4.6570373717580571</v>
      </c>
      <c r="AU77">
        <f t="shared" si="111"/>
        <v>27.200000000000003</v>
      </c>
      <c r="AV77" s="542">
        <f t="shared" si="123"/>
        <v>0.85381448634371071</v>
      </c>
      <c r="AW77" s="551">
        <f t="shared" si="112"/>
        <v>115.21262656409988</v>
      </c>
      <c r="AX77" s="551">
        <f t="shared" si="113"/>
        <v>33.344239856374408</v>
      </c>
      <c r="AY77" s="9"/>
      <c r="AZ77" s="4">
        <f t="shared" si="124"/>
        <v>85.381448634371068</v>
      </c>
      <c r="BA77" s="360">
        <f t="shared" si="114"/>
        <v>0.58137599184312638</v>
      </c>
      <c r="BB77" s="360">
        <f t="shared" si="125"/>
        <v>3.1997253275023763</v>
      </c>
      <c r="BC77" s="360">
        <f t="shared" si="126"/>
        <v>2.3042525312819975</v>
      </c>
      <c r="BD77" s="360">
        <f t="shared" si="127"/>
        <v>0.87747999622037909</v>
      </c>
      <c r="BE77" s="360">
        <f t="shared" si="128"/>
        <v>0.29874532229231215</v>
      </c>
      <c r="BK77" s="18"/>
      <c r="BL77" s="19"/>
    </row>
    <row r="78" spans="1:64" x14ac:dyDescent="0.2">
      <c r="A78" s="34" t="s">
        <v>211</v>
      </c>
      <c r="B78" s="605">
        <f>Qrr_Q4*Fsw</f>
        <v>0.126</v>
      </c>
      <c r="C78" s="21" t="s">
        <v>1</v>
      </c>
      <c r="G78">
        <v>69</v>
      </c>
      <c r="H78" s="548">
        <f t="shared" si="82"/>
        <v>21</v>
      </c>
      <c r="I78" s="4">
        <f t="shared" si="83"/>
        <v>1</v>
      </c>
      <c r="J78" s="360">
        <f t="shared" si="115"/>
        <v>5.52</v>
      </c>
      <c r="K78" s="4">
        <f t="shared" si="84"/>
        <v>1.46031746031746</v>
      </c>
      <c r="L78" s="4"/>
      <c r="M78" s="360">
        <f t="shared" si="85"/>
        <v>0.2422812832170558</v>
      </c>
      <c r="N78" s="4">
        <f t="shared" si="86"/>
        <v>1.8363998291535812</v>
      </c>
      <c r="O78" s="4">
        <f t="shared" si="116"/>
        <v>6.4381999145767903</v>
      </c>
      <c r="P78" s="4">
        <f t="shared" si="117"/>
        <v>4.6018000854232088</v>
      </c>
      <c r="Q78" s="4">
        <f t="shared" si="87"/>
        <v>0</v>
      </c>
      <c r="R78" s="4">
        <f t="shared" si="88"/>
        <v>5.5453972230168453</v>
      </c>
      <c r="S78" s="360">
        <f t="shared" si="89"/>
        <v>0.27676287324938642</v>
      </c>
      <c r="T78" s="360">
        <f t="shared" si="90"/>
        <v>0.3</v>
      </c>
      <c r="U78" s="360">
        <f t="shared" si="91"/>
        <v>0.58982214292801582</v>
      </c>
      <c r="V78" s="4">
        <f t="shared" si="118"/>
        <v>0.53012296785080149</v>
      </c>
      <c r="W78" s="360">
        <f t="shared" si="92"/>
        <v>5.6206072208588378E-4</v>
      </c>
      <c r="X78" s="360">
        <f t="shared" si="119"/>
        <v>5.6206072208588378E-4</v>
      </c>
      <c r="Y78" s="4">
        <f t="shared" si="93"/>
        <v>2.3760008996332806</v>
      </c>
      <c r="Z78" s="360">
        <f t="shared" si="120"/>
        <v>5.6453802750581587E-3</v>
      </c>
      <c r="AA78" s="541">
        <f t="shared" si="121"/>
        <v>5.6453802750581587E-3</v>
      </c>
      <c r="AB78" s="360">
        <f t="shared" si="94"/>
        <v>2.7295596730303244</v>
      </c>
      <c r="AC78" s="360">
        <f t="shared" si="95"/>
        <v>4.4702976051800472E-2</v>
      </c>
      <c r="AD78" s="360">
        <f t="shared" si="96"/>
        <v>0.43784144533947061</v>
      </c>
      <c r="AE78" s="360">
        <f t="shared" si="97"/>
        <v>0.63444464999999983</v>
      </c>
      <c r="AF78" s="360">
        <f t="shared" si="98"/>
        <v>0</v>
      </c>
      <c r="AG78" s="360">
        <f t="shared" si="99"/>
        <v>1.124630771442594</v>
      </c>
      <c r="AH78" s="360">
        <f t="shared" si="100"/>
        <v>4.8271041373073285</v>
      </c>
      <c r="AI78" s="360">
        <f t="shared" si="101"/>
        <v>5.8252335881023819E-2</v>
      </c>
      <c r="AJ78" s="360">
        <f t="shared" si="102"/>
        <v>0.22720319999999997</v>
      </c>
      <c r="AK78" s="360">
        <f t="shared" si="103"/>
        <v>0.2888204288066531</v>
      </c>
      <c r="AL78" s="360">
        <f t="shared" si="104"/>
        <v>0.22720319999999997</v>
      </c>
      <c r="AM78" s="360">
        <f t="shared" si="105"/>
        <v>1.8257399999999997</v>
      </c>
      <c r="AN78" s="360">
        <f t="shared" si="106"/>
        <v>0.30751430361042942</v>
      </c>
      <c r="AO78" s="360">
        <f t="shared" si="107"/>
        <v>7.3499999999999998E-4</v>
      </c>
      <c r="AP78" s="360">
        <f t="shared" si="108"/>
        <v>0.34650000000000003</v>
      </c>
      <c r="AQ78" s="360">
        <f t="shared" si="109"/>
        <v>1.3167</v>
      </c>
      <c r="AR78" s="360">
        <f t="shared" si="110"/>
        <v>1.1088</v>
      </c>
      <c r="AS78" s="360">
        <f t="shared" si="129"/>
        <v>0.34723500000000002</v>
      </c>
      <c r="AT78" s="360">
        <f t="shared" si="122"/>
        <v>4.7171732877848367</v>
      </c>
      <c r="AU78">
        <f t="shared" si="111"/>
        <v>27.599999999999998</v>
      </c>
      <c r="AV78" s="542">
        <f t="shared" si="123"/>
        <v>0.8540350900811049</v>
      </c>
      <c r="AW78" s="551">
        <f t="shared" si="112"/>
        <v>116.48095857212969</v>
      </c>
      <c r="AX78" s="551">
        <f t="shared" si="113"/>
        <v>33.869955894652819</v>
      </c>
      <c r="AY78" s="9"/>
      <c r="AZ78" s="4">
        <f t="shared" si="124"/>
        <v>85.40350900811049</v>
      </c>
      <c r="BA78" s="360">
        <f t="shared" si="114"/>
        <v>0.58982214292801582</v>
      </c>
      <c r="BB78" s="360">
        <f t="shared" si="125"/>
        <v>3.2391912002492469</v>
      </c>
      <c r="BC78" s="360">
        <f t="shared" si="126"/>
        <v>2.329619171442594</v>
      </c>
      <c r="BD78" s="360">
        <f t="shared" si="127"/>
        <v>0.89131462880665313</v>
      </c>
      <c r="BE78" s="360">
        <f t="shared" si="128"/>
        <v>0.30751430361042942</v>
      </c>
      <c r="BK78" s="18"/>
      <c r="BL78" s="19"/>
    </row>
    <row r="79" spans="1:64" x14ac:dyDescent="0.2">
      <c r="A79" s="34" t="s">
        <v>212</v>
      </c>
      <c r="B79" s="605">
        <f>Deadtime*Fsw*(Iripple2_Vinnom/2)*(Vsd_Q4)/Vin</f>
        <v>9.1243516761543321E-4</v>
      </c>
      <c r="C79" s="21"/>
      <c r="G79">
        <v>70</v>
      </c>
      <c r="H79" s="548">
        <f t="shared" si="82"/>
        <v>21</v>
      </c>
      <c r="I79" s="4">
        <f t="shared" si="83"/>
        <v>1</v>
      </c>
      <c r="J79" s="360">
        <f t="shared" si="115"/>
        <v>5.6</v>
      </c>
      <c r="K79" s="4">
        <f t="shared" si="84"/>
        <v>1.4814814814814814</v>
      </c>
      <c r="L79" s="4"/>
      <c r="M79" s="360">
        <f t="shared" si="85"/>
        <v>0.24234184556292901</v>
      </c>
      <c r="N79" s="4">
        <f t="shared" si="86"/>
        <v>1.836720387609323</v>
      </c>
      <c r="O79" s="4">
        <f t="shared" si="116"/>
        <v>6.5183601938046607</v>
      </c>
      <c r="P79" s="4">
        <f t="shared" si="117"/>
        <v>4.6816398061953386</v>
      </c>
      <c r="Q79" s="4">
        <f t="shared" si="87"/>
        <v>0</v>
      </c>
      <c r="R79" s="4">
        <f t="shared" si="88"/>
        <v>5.6250447537646284</v>
      </c>
      <c r="S79" s="360">
        <f t="shared" si="89"/>
        <v>0.28477015633669472</v>
      </c>
      <c r="T79" s="360">
        <f t="shared" si="90"/>
        <v>0.3</v>
      </c>
      <c r="U79" s="360">
        <f t="shared" si="91"/>
        <v>0.59840273558180967</v>
      </c>
      <c r="V79" s="4">
        <f t="shared" si="118"/>
        <v>0.53021550510615822</v>
      </c>
      <c r="W79" s="360">
        <f t="shared" si="92"/>
        <v>5.6225696370995702E-4</v>
      </c>
      <c r="X79" s="360">
        <f t="shared" si="119"/>
        <v>5.6225696370995702E-4</v>
      </c>
      <c r="Y79" s="4">
        <f t="shared" si="93"/>
        <v>2.4103318440466008</v>
      </c>
      <c r="Z79" s="360">
        <f t="shared" si="120"/>
        <v>5.8096995984250879E-3</v>
      </c>
      <c r="AA79" s="541">
        <f t="shared" si="121"/>
        <v>5.8096995984250879E-3</v>
      </c>
      <c r="AB79" s="360">
        <f t="shared" si="94"/>
        <v>2.7691098699738319</v>
      </c>
      <c r="AC79" s="360">
        <f t="shared" si="95"/>
        <v>4.600781683191895E-2</v>
      </c>
      <c r="AD79" s="360">
        <f t="shared" si="96"/>
        <v>0.44418697353279635</v>
      </c>
      <c r="AE79" s="360">
        <f t="shared" si="97"/>
        <v>0.63444464999999983</v>
      </c>
      <c r="AF79" s="360">
        <f t="shared" si="98"/>
        <v>0</v>
      </c>
      <c r="AG79" s="360">
        <f t="shared" si="99"/>
        <v>1.1325596430492273</v>
      </c>
      <c r="AH79" s="360">
        <f t="shared" si="100"/>
        <v>4.8962392721218677</v>
      </c>
      <c r="AI79" s="360">
        <f t="shared" si="101"/>
        <v>5.9932897524671194E-2</v>
      </c>
      <c r="AJ79" s="360">
        <f t="shared" si="102"/>
        <v>0.23049599999999995</v>
      </c>
      <c r="AK79" s="360">
        <f t="shared" si="103"/>
        <v>0.29395238111152922</v>
      </c>
      <c r="AL79" s="360">
        <f t="shared" si="104"/>
        <v>0.23049599999999995</v>
      </c>
      <c r="AM79" s="360">
        <f t="shared" si="105"/>
        <v>1.8521999999999996</v>
      </c>
      <c r="AN79" s="360">
        <f t="shared" si="106"/>
        <v>0.31641128481854969</v>
      </c>
      <c r="AO79" s="360">
        <f t="shared" si="107"/>
        <v>7.3499999999999998E-4</v>
      </c>
      <c r="AP79" s="360">
        <f t="shared" si="108"/>
        <v>0.34650000000000003</v>
      </c>
      <c r="AQ79" s="360">
        <f t="shared" si="109"/>
        <v>1.3167</v>
      </c>
      <c r="AR79" s="360">
        <f t="shared" si="110"/>
        <v>1.1088</v>
      </c>
      <c r="AS79" s="360">
        <f t="shared" si="129"/>
        <v>0.34723500000000002</v>
      </c>
      <c r="AT79" s="360">
        <f t="shared" si="122"/>
        <v>4.777629001123251</v>
      </c>
      <c r="AU79">
        <f t="shared" si="111"/>
        <v>28</v>
      </c>
      <c r="AV79" s="542">
        <f t="shared" si="123"/>
        <v>0.85424116549249096</v>
      </c>
      <c r="AW79" s="551">
        <f t="shared" si="112"/>
        <v>117.75058215246136</v>
      </c>
      <c r="AX79" s="551">
        <f t="shared" si="113"/>
        <v>34.396778482238105</v>
      </c>
      <c r="AY79" s="9"/>
      <c r="AZ79" s="4">
        <f t="shared" si="124"/>
        <v>85.424116549249092</v>
      </c>
      <c r="BA79" s="360">
        <f t="shared" si="114"/>
        <v>0.59840273558180967</v>
      </c>
      <c r="BB79" s="360">
        <f t="shared" si="125"/>
        <v>3.2787120241607561</v>
      </c>
      <c r="BC79" s="360">
        <f t="shared" si="126"/>
        <v>2.3550116430492274</v>
      </c>
      <c r="BD79" s="360">
        <f t="shared" si="127"/>
        <v>0.90517838111152915</v>
      </c>
      <c r="BE79" s="360">
        <f t="shared" si="128"/>
        <v>0.31641128481854969</v>
      </c>
      <c r="BK79" s="18"/>
      <c r="BL79" s="19"/>
    </row>
    <row r="80" spans="1:64" x14ac:dyDescent="0.2">
      <c r="A80" s="34" t="s">
        <v>45</v>
      </c>
      <c r="B80" s="605">
        <f>SUM(B77:B79)</f>
        <v>0.19624743516761542</v>
      </c>
      <c r="C80" s="21" t="s">
        <v>1</v>
      </c>
      <c r="G80">
        <v>71</v>
      </c>
      <c r="H80" s="548">
        <f t="shared" si="82"/>
        <v>21</v>
      </c>
      <c r="I80" s="4">
        <f t="shared" si="83"/>
        <v>1</v>
      </c>
      <c r="J80" s="360">
        <f t="shared" si="115"/>
        <v>5.68</v>
      </c>
      <c r="K80" s="4">
        <f t="shared" si="84"/>
        <v>1.5026455026455023</v>
      </c>
      <c r="L80" s="4"/>
      <c r="M80" s="360">
        <f t="shared" si="85"/>
        <v>0.24240240491478793</v>
      </c>
      <c r="N80" s="4">
        <f t="shared" si="86"/>
        <v>1.8370408541608889</v>
      </c>
      <c r="O80" s="4">
        <f t="shared" si="116"/>
        <v>6.5985204270804445</v>
      </c>
      <c r="P80" s="4">
        <f t="shared" si="117"/>
        <v>4.7614795729195549</v>
      </c>
      <c r="Q80" s="4">
        <f t="shared" si="87"/>
        <v>0</v>
      </c>
      <c r="R80" s="4">
        <f t="shared" si="88"/>
        <v>5.7047021474968069</v>
      </c>
      <c r="S80" s="360">
        <f t="shared" si="89"/>
        <v>0.29289263932489207</v>
      </c>
      <c r="T80" s="360">
        <f t="shared" si="90"/>
        <v>0.3</v>
      </c>
      <c r="U80" s="360">
        <f t="shared" si="91"/>
        <v>0.60711827729442369</v>
      </c>
      <c r="V80" s="4">
        <f t="shared" si="118"/>
        <v>0.53030801583106468</v>
      </c>
      <c r="W80" s="360">
        <f t="shared" si="92"/>
        <v>5.6245318330936148E-4</v>
      </c>
      <c r="X80" s="360">
        <f t="shared" si="119"/>
        <v>5.6245318330936148E-4</v>
      </c>
      <c r="Y80" s="4">
        <f t="shared" si="93"/>
        <v>2.4446727402198225</v>
      </c>
      <c r="Z80" s="360">
        <f t="shared" si="120"/>
        <v>5.9764248067738952E-3</v>
      </c>
      <c r="AA80" s="541">
        <f t="shared" si="121"/>
        <v>5.9764248067738952E-3</v>
      </c>
      <c r="AB80" s="360">
        <f t="shared" si="94"/>
        <v>2.8086746608437827</v>
      </c>
      <c r="AC80" s="360">
        <f t="shared" si="95"/>
        <v>4.7331920102795626E-2</v>
      </c>
      <c r="AD80" s="360">
        <f t="shared" si="96"/>
        <v>0.45053250172612197</v>
      </c>
      <c r="AE80" s="360">
        <f t="shared" si="97"/>
        <v>0.63444464999999983</v>
      </c>
      <c r="AF80" s="360">
        <f t="shared" si="98"/>
        <v>0</v>
      </c>
      <c r="AG80" s="360">
        <f t="shared" si="99"/>
        <v>1.1405144481165364</v>
      </c>
      <c r="AH80" s="360">
        <f t="shared" si="100"/>
        <v>4.9653774520361234</v>
      </c>
      <c r="AI80" s="360">
        <f t="shared" si="101"/>
        <v>6.1637433102971866E-2</v>
      </c>
      <c r="AJ80" s="360">
        <f t="shared" si="102"/>
        <v>0.23378879999999996</v>
      </c>
      <c r="AK80" s="360">
        <f t="shared" si="103"/>
        <v>0.29911355140596735</v>
      </c>
      <c r="AL80" s="360">
        <f t="shared" si="104"/>
        <v>0.23378879999999996</v>
      </c>
      <c r="AM80" s="360">
        <f t="shared" si="105"/>
        <v>1.8786599999999996</v>
      </c>
      <c r="AN80" s="360">
        <f t="shared" si="106"/>
        <v>0.32543626591654679</v>
      </c>
      <c r="AO80" s="360">
        <f t="shared" si="107"/>
        <v>7.3499999999999998E-4</v>
      </c>
      <c r="AP80" s="360">
        <f t="shared" si="108"/>
        <v>0.34650000000000003</v>
      </c>
      <c r="AQ80" s="360">
        <f t="shared" si="109"/>
        <v>1.3167</v>
      </c>
      <c r="AR80" s="360">
        <f t="shared" si="110"/>
        <v>1.1088</v>
      </c>
      <c r="AS80" s="360">
        <f t="shared" si="129"/>
        <v>0.34723500000000002</v>
      </c>
      <c r="AT80" s="360">
        <f t="shared" si="122"/>
        <v>4.8384052207235566</v>
      </c>
      <c r="AU80">
        <f t="shared" si="111"/>
        <v>28.4</v>
      </c>
      <c r="AV80" s="542">
        <f t="shared" si="123"/>
        <v>0.85443329219336617</v>
      </c>
      <c r="AW80" s="551">
        <f t="shared" si="112"/>
        <v>119.02150240582681</v>
      </c>
      <c r="AX80" s="551">
        <f t="shared" si="113"/>
        <v>34.924711353426751</v>
      </c>
      <c r="AY80" s="9"/>
      <c r="AZ80" s="4">
        <f t="shared" si="124"/>
        <v>85.443329219336619</v>
      </c>
      <c r="BA80" s="360">
        <f t="shared" si="114"/>
        <v>0.60711827729442369</v>
      </c>
      <c r="BB80" s="360">
        <f t="shared" si="125"/>
        <v>3.3182879995225032</v>
      </c>
      <c r="BC80" s="360">
        <f t="shared" si="126"/>
        <v>2.3804300481165361</v>
      </c>
      <c r="BD80" s="360">
        <f t="shared" si="127"/>
        <v>0.91907135140596719</v>
      </c>
      <c r="BE80" s="360">
        <f t="shared" si="128"/>
        <v>0.32543626591654679</v>
      </c>
      <c r="BK80" s="18"/>
      <c r="BL80" s="19"/>
    </row>
    <row r="81" spans="1:64" x14ac:dyDescent="0.2">
      <c r="A81" s="2"/>
      <c r="G81">
        <v>72</v>
      </c>
      <c r="H81" s="548">
        <f t="shared" si="82"/>
        <v>21</v>
      </c>
      <c r="I81" s="4">
        <f t="shared" si="83"/>
        <v>1</v>
      </c>
      <c r="J81" s="360">
        <f t="shared" si="115"/>
        <v>5.76</v>
      </c>
      <c r="K81" s="4">
        <f t="shared" si="84"/>
        <v>1.5238095238095235</v>
      </c>
      <c r="L81" s="4"/>
      <c r="M81" s="360">
        <f t="shared" si="85"/>
        <v>0.24246296127285447</v>
      </c>
      <c r="N81" s="4">
        <f t="shared" si="86"/>
        <v>1.8373612288150936</v>
      </c>
      <c r="O81" s="4">
        <f t="shared" si="116"/>
        <v>6.678680614407547</v>
      </c>
      <c r="P81" s="4">
        <f t="shared" si="117"/>
        <v>4.8413193855924526</v>
      </c>
      <c r="Q81" s="4">
        <f t="shared" si="87"/>
        <v>0</v>
      </c>
      <c r="R81" s="4">
        <f t="shared" si="88"/>
        <v>5.7843689967384861</v>
      </c>
      <c r="S81" s="360">
        <f t="shared" si="89"/>
        <v>0.30113032221386454</v>
      </c>
      <c r="T81" s="360">
        <f t="shared" si="90"/>
        <v>0.3</v>
      </c>
      <c r="U81" s="360">
        <f t="shared" si="91"/>
        <v>0.61596928454415456</v>
      </c>
      <c r="V81" s="4">
        <f t="shared" si="118"/>
        <v>0.53040050002748795</v>
      </c>
      <c r="W81" s="360">
        <f t="shared" si="92"/>
        <v>5.6264938085881858E-4</v>
      </c>
      <c r="X81" s="360">
        <f t="shared" si="119"/>
        <v>5.6264938085881858E-4</v>
      </c>
      <c r="Y81" s="4">
        <f t="shared" si="93"/>
        <v>2.4790234114103344</v>
      </c>
      <c r="Z81" s="360">
        <f t="shared" si="120"/>
        <v>6.1455570743205326E-3</v>
      </c>
      <c r="AA81" s="541">
        <f t="shared" si="121"/>
        <v>6.1455570743205326E-3</v>
      </c>
      <c r="AB81" s="360">
        <f t="shared" si="94"/>
        <v>2.8482538442784446</v>
      </c>
      <c r="AC81" s="360">
        <f t="shared" si="95"/>
        <v>4.8675299768681624E-2</v>
      </c>
      <c r="AD81" s="360">
        <f t="shared" si="96"/>
        <v>0.45687802991944765</v>
      </c>
      <c r="AE81" s="360">
        <f t="shared" si="97"/>
        <v>0.63444464999999983</v>
      </c>
      <c r="AF81" s="360">
        <f t="shared" si="98"/>
        <v>0</v>
      </c>
      <c r="AG81" s="360">
        <f t="shared" si="99"/>
        <v>1.1484952892662985</v>
      </c>
      <c r="AH81" s="360">
        <f t="shared" si="100"/>
        <v>5.0345183214466962</v>
      </c>
      <c r="AI81" s="360">
        <f t="shared" si="101"/>
        <v>6.3365936822456156E-2</v>
      </c>
      <c r="AJ81" s="360">
        <f t="shared" si="102"/>
        <v>0.23708159999999998</v>
      </c>
      <c r="AK81" s="360">
        <f t="shared" si="103"/>
        <v>0.3043040389235051</v>
      </c>
      <c r="AL81" s="360">
        <f t="shared" si="104"/>
        <v>0.23708159999999998</v>
      </c>
      <c r="AM81" s="360">
        <f t="shared" si="105"/>
        <v>1.9051199999999999</v>
      </c>
      <c r="AN81" s="360">
        <f t="shared" si="106"/>
        <v>0.33458924690429398</v>
      </c>
      <c r="AO81" s="360">
        <f t="shared" si="107"/>
        <v>7.3499999999999998E-4</v>
      </c>
      <c r="AP81" s="360">
        <f t="shared" si="108"/>
        <v>0.34650000000000003</v>
      </c>
      <c r="AQ81" s="360">
        <f t="shared" si="109"/>
        <v>1.3167</v>
      </c>
      <c r="AR81" s="360">
        <f t="shared" si="110"/>
        <v>1.1088</v>
      </c>
      <c r="AS81" s="360">
        <f t="shared" si="129"/>
        <v>0.34723500000000002</v>
      </c>
      <c r="AT81" s="360">
        <f t="shared" si="122"/>
        <v>4.8995026660934311</v>
      </c>
      <c r="AU81">
        <f t="shared" si="111"/>
        <v>28.799999999999997</v>
      </c>
      <c r="AV81" s="542">
        <f t="shared" si="123"/>
        <v>0.85461201862118163</v>
      </c>
      <c r="AW81" s="551">
        <f t="shared" si="112"/>
        <v>120.29372446331492</v>
      </c>
      <c r="AX81" s="551">
        <f t="shared" si="113"/>
        <v>35.453758279093194</v>
      </c>
      <c r="AY81" s="9"/>
      <c r="AZ81" s="4">
        <f t="shared" si="124"/>
        <v>85.461201862118159</v>
      </c>
      <c r="BA81" s="360">
        <f t="shared" si="114"/>
        <v>0.61596928454415456</v>
      </c>
      <c r="BB81" s="360">
        <f t="shared" si="125"/>
        <v>3.3579193281898032</v>
      </c>
      <c r="BC81" s="360">
        <f t="shared" si="126"/>
        <v>2.4058744892662984</v>
      </c>
      <c r="BD81" s="360">
        <f t="shared" si="127"/>
        <v>0.93299363892350506</v>
      </c>
      <c r="BE81" s="360">
        <f t="shared" si="128"/>
        <v>0.33458924690429398</v>
      </c>
      <c r="BK81" s="18"/>
      <c r="BL81" s="19"/>
    </row>
    <row r="82" spans="1:64" x14ac:dyDescent="0.2">
      <c r="A82" s="2"/>
      <c r="G82">
        <v>73</v>
      </c>
      <c r="H82" s="548">
        <f t="shared" si="82"/>
        <v>21</v>
      </c>
      <c r="I82" s="4">
        <f t="shared" si="83"/>
        <v>1</v>
      </c>
      <c r="J82" s="360">
        <f t="shared" si="115"/>
        <v>5.84</v>
      </c>
      <c r="K82" s="4">
        <f t="shared" si="84"/>
        <v>1.5449735449735447</v>
      </c>
      <c r="L82" s="4"/>
      <c r="M82" s="360">
        <f t="shared" si="85"/>
        <v>0.24252351463735075</v>
      </c>
      <c r="N82" s="4">
        <f t="shared" si="86"/>
        <v>1.8376815115787526</v>
      </c>
      <c r="O82" s="4">
        <f t="shared" si="116"/>
        <v>6.7588407557893762</v>
      </c>
      <c r="P82" s="4">
        <f t="shared" si="117"/>
        <v>4.9211592442106236</v>
      </c>
      <c r="Q82" s="4">
        <f t="shared" si="87"/>
        <v>0</v>
      </c>
      <c r="R82" s="4">
        <f t="shared" si="88"/>
        <v>5.8640449161109371</v>
      </c>
      <c r="S82" s="360">
        <f t="shared" si="89"/>
        <v>0.30948320500349868</v>
      </c>
      <c r="T82" s="360">
        <f t="shared" si="90"/>
        <v>0.3</v>
      </c>
      <c r="U82" s="360">
        <f t="shared" si="91"/>
        <v>0.62495628287643235</v>
      </c>
      <c r="V82" s="4">
        <f t="shared" si="118"/>
        <v>0.53049295769739557</v>
      </c>
      <c r="W82" s="360">
        <f t="shared" si="92"/>
        <v>5.628455563330614E-4</v>
      </c>
      <c r="X82" s="360">
        <f t="shared" si="119"/>
        <v>5.628455563330614E-4</v>
      </c>
      <c r="Y82" s="4">
        <f t="shared" si="93"/>
        <v>2.5133836902875739</v>
      </c>
      <c r="Z82" s="360">
        <f t="shared" si="120"/>
        <v>6.3170975746035833E-3</v>
      </c>
      <c r="AA82" s="541">
        <f t="shared" si="121"/>
        <v>6.3170975746035833E-3</v>
      </c>
      <c r="AB82" s="360">
        <f t="shared" si="94"/>
        <v>2.8878472296982025</v>
      </c>
      <c r="AC82" s="360">
        <f t="shared" si="95"/>
        <v>5.0037969732453502E-2</v>
      </c>
      <c r="AD82" s="360">
        <f t="shared" si="96"/>
        <v>0.46322355811277333</v>
      </c>
      <c r="AE82" s="360">
        <f t="shared" si="97"/>
        <v>0.63444464999999983</v>
      </c>
      <c r="AF82" s="360">
        <f t="shared" si="98"/>
        <v>0</v>
      </c>
      <c r="AG82" s="360">
        <f t="shared" si="99"/>
        <v>1.156502269731615</v>
      </c>
      <c r="AH82" s="360">
        <f t="shared" si="100"/>
        <v>5.1036615440378625</v>
      </c>
      <c r="AI82" s="360">
        <f t="shared" si="101"/>
        <v>6.5118402890227356E-2</v>
      </c>
      <c r="AJ82" s="360">
        <f t="shared" si="102"/>
        <v>0.24037439999999996</v>
      </c>
      <c r="AK82" s="360">
        <f t="shared" si="103"/>
        <v>0.30952394386640014</v>
      </c>
      <c r="AL82" s="360">
        <f t="shared" si="104"/>
        <v>0.24037439999999996</v>
      </c>
      <c r="AM82" s="360">
        <f t="shared" si="105"/>
        <v>1.9315799999999999</v>
      </c>
      <c r="AN82" s="360">
        <f t="shared" si="106"/>
        <v>0.34387022778166526</v>
      </c>
      <c r="AO82" s="360">
        <f t="shared" si="107"/>
        <v>7.3499999999999998E-4</v>
      </c>
      <c r="AP82" s="360">
        <f t="shared" si="108"/>
        <v>0.34650000000000003</v>
      </c>
      <c r="AQ82" s="360">
        <f t="shared" si="109"/>
        <v>1.3167</v>
      </c>
      <c r="AR82" s="360">
        <f t="shared" si="110"/>
        <v>1.1088</v>
      </c>
      <c r="AS82" s="360">
        <f t="shared" si="129"/>
        <v>0.34723500000000002</v>
      </c>
      <c r="AT82" s="360">
        <f t="shared" si="122"/>
        <v>4.9609220673870498</v>
      </c>
      <c r="AU82">
        <f t="shared" si="111"/>
        <v>29.2</v>
      </c>
      <c r="AV82" s="542">
        <f t="shared" si="123"/>
        <v>0.8547778640868956</v>
      </c>
      <c r="AW82" s="551">
        <f t="shared" si="112"/>
        <v>121.56725348658075</v>
      </c>
      <c r="AX82" s="551">
        <f t="shared" si="113"/>
        <v>35.983923066923204</v>
      </c>
      <c r="AY82" s="9"/>
      <c r="AZ82" s="4">
        <f t="shared" si="124"/>
        <v>85.477786408689553</v>
      </c>
      <c r="BA82" s="360">
        <f t="shared" si="114"/>
        <v>0.62495628287643235</v>
      </c>
      <c r="BB82" s="360">
        <f t="shared" si="125"/>
        <v>3.397606213598015</v>
      </c>
      <c r="BC82" s="360">
        <f t="shared" si="126"/>
        <v>2.431345069731615</v>
      </c>
      <c r="BD82" s="360">
        <f t="shared" si="127"/>
        <v>0.94694534386640017</v>
      </c>
      <c r="BE82" s="360">
        <f t="shared" si="128"/>
        <v>0.34387022778166526</v>
      </c>
      <c r="BK82" s="18"/>
      <c r="BL82" s="19"/>
    </row>
    <row r="83" spans="1:64" x14ac:dyDescent="0.2">
      <c r="A83" s="2"/>
      <c r="G83">
        <v>74</v>
      </c>
      <c r="H83" s="548">
        <f t="shared" si="82"/>
        <v>21</v>
      </c>
      <c r="I83" s="4">
        <f t="shared" si="83"/>
        <v>1</v>
      </c>
      <c r="J83" s="360">
        <f t="shared" si="115"/>
        <v>5.92</v>
      </c>
      <c r="K83" s="4">
        <f t="shared" si="84"/>
        <v>1.5661375661375661</v>
      </c>
      <c r="L83" s="4"/>
      <c r="M83" s="360">
        <f t="shared" si="85"/>
        <v>0.24258406500849872</v>
      </c>
      <c r="N83" s="4">
        <f t="shared" si="86"/>
        <v>1.8380017024586786</v>
      </c>
      <c r="O83" s="4">
        <f t="shared" si="116"/>
        <v>6.839000851229339</v>
      </c>
      <c r="P83" s="4">
        <f t="shared" si="117"/>
        <v>5.0009991487706609</v>
      </c>
      <c r="Q83" s="4">
        <f t="shared" si="87"/>
        <v>0</v>
      </c>
      <c r="R83" s="4">
        <f t="shared" si="88"/>
        <v>5.9437295408567685</v>
      </c>
      <c r="S83" s="360">
        <f t="shared" si="89"/>
        <v>0.31795128769368064</v>
      </c>
      <c r="T83" s="360">
        <f t="shared" si="90"/>
        <v>0.3</v>
      </c>
      <c r="U83" s="360">
        <f t="shared" si="91"/>
        <v>0.63407980698417488</v>
      </c>
      <c r="V83" s="4">
        <f t="shared" si="118"/>
        <v>0.5305853888427543</v>
      </c>
      <c r="W83" s="360">
        <f t="shared" si="92"/>
        <v>5.6304170970683358E-4</v>
      </c>
      <c r="X83" s="360">
        <f t="shared" si="119"/>
        <v>5.6304170970683358E-4</v>
      </c>
      <c r="Y83" s="4">
        <f t="shared" si="93"/>
        <v>2.547753418304918</v>
      </c>
      <c r="Z83" s="360">
        <f t="shared" si="120"/>
        <v>6.4910474804843942E-3</v>
      </c>
      <c r="AA83" s="541">
        <f t="shared" si="121"/>
        <v>6.4910474804843942E-3</v>
      </c>
      <c r="AB83" s="360">
        <f t="shared" si="94"/>
        <v>2.9274546365859981</v>
      </c>
      <c r="AC83" s="360">
        <f t="shared" si="95"/>
        <v>5.1419943895613149E-2</v>
      </c>
      <c r="AD83" s="360">
        <f t="shared" si="96"/>
        <v>0.46956908630609895</v>
      </c>
      <c r="AE83" s="360">
        <f t="shared" si="97"/>
        <v>0.63444464999999983</v>
      </c>
      <c r="AF83" s="360">
        <f t="shared" si="98"/>
        <v>0</v>
      </c>
      <c r="AG83" s="360">
        <f t="shared" si="99"/>
        <v>1.16453549336114</v>
      </c>
      <c r="AH83" s="360">
        <f t="shared" si="100"/>
        <v>5.1728068014941897</v>
      </c>
      <c r="AI83" s="360">
        <f t="shared" si="101"/>
        <v>6.6894825513961378E-2</v>
      </c>
      <c r="AJ83" s="360">
        <f t="shared" si="102"/>
        <v>0.24366719999999997</v>
      </c>
      <c r="AK83" s="360">
        <f t="shared" si="103"/>
        <v>0.31477336741185291</v>
      </c>
      <c r="AL83" s="360">
        <f t="shared" si="104"/>
        <v>0.24366719999999997</v>
      </c>
      <c r="AM83" s="360">
        <f t="shared" si="105"/>
        <v>1.9580399999999998</v>
      </c>
      <c r="AN83" s="360">
        <f t="shared" si="106"/>
        <v>0.35327920854853412</v>
      </c>
      <c r="AO83" s="360">
        <f t="shared" si="107"/>
        <v>7.3499999999999998E-4</v>
      </c>
      <c r="AP83" s="360">
        <f t="shared" si="108"/>
        <v>0.34650000000000003</v>
      </c>
      <c r="AQ83" s="360">
        <f t="shared" si="109"/>
        <v>1.3167</v>
      </c>
      <c r="AR83" s="360">
        <f t="shared" si="110"/>
        <v>1.1088</v>
      </c>
      <c r="AS83" s="360">
        <f t="shared" si="129"/>
        <v>0.34723500000000002</v>
      </c>
      <c r="AT83" s="360">
        <f t="shared" si="122"/>
        <v>5.0226641654958932</v>
      </c>
      <c r="AU83">
        <f t="shared" si="111"/>
        <v>29.6</v>
      </c>
      <c r="AV83" s="542">
        <f t="shared" si="123"/>
        <v>0.85493132066649702</v>
      </c>
      <c r="AW83" s="551">
        <f t="shared" si="112"/>
        <v>122.842094668057</v>
      </c>
      <c r="AX83" s="551">
        <f t="shared" si="113"/>
        <v>36.515209561650408</v>
      </c>
      <c r="AY83" s="9"/>
      <c r="AZ83" s="4">
        <f t="shared" si="124"/>
        <v>85.493132066649707</v>
      </c>
      <c r="BA83" s="360">
        <f t="shared" si="114"/>
        <v>0.63407980698417488</v>
      </c>
      <c r="BB83" s="360">
        <f t="shared" si="125"/>
        <v>3.4373488607729925</v>
      </c>
      <c r="BC83" s="360">
        <f t="shared" si="126"/>
        <v>2.45684189336114</v>
      </c>
      <c r="BD83" s="360">
        <f t="shared" si="127"/>
        <v>0.96092656741185289</v>
      </c>
      <c r="BE83" s="360">
        <f t="shared" si="128"/>
        <v>0.35327920854853412</v>
      </c>
      <c r="BK83" s="18"/>
      <c r="BL83" s="19"/>
    </row>
    <row r="84" spans="1:64" x14ac:dyDescent="0.2">
      <c r="G84">
        <v>75</v>
      </c>
      <c r="H84" s="548">
        <f t="shared" si="82"/>
        <v>21</v>
      </c>
      <c r="I84" s="4">
        <f t="shared" si="83"/>
        <v>1</v>
      </c>
      <c r="J84" s="360">
        <f t="shared" si="115"/>
        <v>6</v>
      </c>
      <c r="K84" s="4">
        <f t="shared" si="84"/>
        <v>1.5873015873015872</v>
      </c>
      <c r="L84" s="4"/>
      <c r="M84" s="360">
        <f t="shared" si="85"/>
        <v>0.24264461238652027</v>
      </c>
      <c r="N84" s="4">
        <f t="shared" si="86"/>
        <v>1.8383218014616844</v>
      </c>
      <c r="O84" s="4">
        <f t="shared" si="116"/>
        <v>6.9191609007308426</v>
      </c>
      <c r="P84" s="4">
        <f t="shared" si="117"/>
        <v>5.0808390992691574</v>
      </c>
      <c r="Q84" s="4">
        <f t="shared" si="87"/>
        <v>0</v>
      </c>
      <c r="R84" s="4">
        <f t="shared" si="88"/>
        <v>6.0234225254814593</v>
      </c>
      <c r="S84" s="360">
        <f t="shared" si="89"/>
        <v>0.32653457028429694</v>
      </c>
      <c r="T84" s="360">
        <f t="shared" si="90"/>
        <v>0.3</v>
      </c>
      <c r="U84" s="360">
        <f t="shared" si="91"/>
        <v>0.64334040078977017</v>
      </c>
      <c r="V84" s="4">
        <f t="shared" si="118"/>
        <v>0.53067779346553068</v>
      </c>
      <c r="W84" s="360">
        <f t="shared" si="92"/>
        <v>5.632378409548888E-4</v>
      </c>
      <c r="X84" s="360">
        <f t="shared" si="119"/>
        <v>5.632378409548888E-4</v>
      </c>
      <c r="Y84" s="4">
        <f t="shared" si="93"/>
        <v>2.5821324451211334</v>
      </c>
      <c r="Z84" s="360">
        <f t="shared" si="120"/>
        <v>6.6674079641472431E-3</v>
      </c>
      <c r="AA84" s="541">
        <f t="shared" si="121"/>
        <v>6.6674079641472431E-3</v>
      </c>
      <c r="AB84" s="360">
        <f t="shared" si="94"/>
        <v>2.9670758938245392</v>
      </c>
      <c r="AC84" s="360">
        <f t="shared" si="95"/>
        <v>5.2821236158288133E-2</v>
      </c>
      <c r="AD84" s="360">
        <f t="shared" si="96"/>
        <v>0.47591461449942463</v>
      </c>
      <c r="AE84" s="360">
        <f t="shared" si="97"/>
        <v>0.63444464999999983</v>
      </c>
      <c r="AF84" s="360">
        <f t="shared" si="98"/>
        <v>0</v>
      </c>
      <c r="AG84" s="360">
        <f t="shared" si="99"/>
        <v>1.1725950646233423</v>
      </c>
      <c r="AH84" s="360">
        <f t="shared" si="100"/>
        <v>5.2419537923147272</v>
      </c>
      <c r="AI84" s="360">
        <f t="shared" si="101"/>
        <v>6.8695198901906881E-2</v>
      </c>
      <c r="AJ84" s="360">
        <f t="shared" si="102"/>
        <v>0.24695999999999996</v>
      </c>
      <c r="AK84" s="360">
        <f t="shared" si="103"/>
        <v>0.32005241171831172</v>
      </c>
      <c r="AL84" s="360">
        <f t="shared" si="104"/>
        <v>0.24695999999999996</v>
      </c>
      <c r="AM84" s="360">
        <f t="shared" si="105"/>
        <v>1.9844999999999997</v>
      </c>
      <c r="AN84" s="360">
        <f t="shared" si="106"/>
        <v>0.36281618920477443</v>
      </c>
      <c r="AO84" s="360">
        <f t="shared" si="107"/>
        <v>7.3499999999999998E-4</v>
      </c>
      <c r="AP84" s="360">
        <f t="shared" si="108"/>
        <v>0.34650000000000003</v>
      </c>
      <c r="AQ84" s="360">
        <f t="shared" si="109"/>
        <v>1.3167</v>
      </c>
      <c r="AR84" s="360">
        <f t="shared" si="110"/>
        <v>1.1088</v>
      </c>
      <c r="AS84" s="360">
        <f t="shared" si="129"/>
        <v>0.34723500000000002</v>
      </c>
      <c r="AT84" s="360">
        <f t="shared" si="122"/>
        <v>5.0847297121413009</v>
      </c>
      <c r="AU84">
        <f t="shared" si="111"/>
        <v>30</v>
      </c>
      <c r="AV84" s="542">
        <f t="shared" si="123"/>
        <v>0.85507285494687169</v>
      </c>
      <c r="AW84" s="551">
        <f t="shared" si="112"/>
        <v>124.1182532311671</v>
      </c>
      <c r="AX84" s="551">
        <f t="shared" si="113"/>
        <v>37.047621645295841</v>
      </c>
      <c r="AY84" s="9"/>
      <c r="AZ84" s="4">
        <f t="shared" si="124"/>
        <v>85.507285494687167</v>
      </c>
      <c r="BA84" s="360">
        <f t="shared" si="114"/>
        <v>0.64334040078977017</v>
      </c>
      <c r="BB84" s="360">
        <f t="shared" si="125"/>
        <v>3.4771474763416537</v>
      </c>
      <c r="BC84" s="360">
        <f t="shared" si="126"/>
        <v>2.4823650646233419</v>
      </c>
      <c r="BD84" s="360">
        <f t="shared" si="127"/>
        <v>0.97493741171831161</v>
      </c>
      <c r="BE84" s="360">
        <f t="shared" si="128"/>
        <v>0.36281618920477443</v>
      </c>
      <c r="BK84" s="18"/>
      <c r="BL84" s="19"/>
    </row>
    <row r="85" spans="1:64" x14ac:dyDescent="0.2">
      <c r="G85">
        <v>76</v>
      </c>
      <c r="H85" s="548">
        <f t="shared" si="82"/>
        <v>21</v>
      </c>
      <c r="I85" s="4">
        <f t="shared" si="83"/>
        <v>1</v>
      </c>
      <c r="J85" s="360">
        <f t="shared" si="115"/>
        <v>6.08</v>
      </c>
      <c r="K85" s="4">
        <f t="shared" si="84"/>
        <v>1.6084656084656082</v>
      </c>
      <c r="L85" s="4"/>
      <c r="M85" s="360">
        <f t="shared" si="85"/>
        <v>0.24270515677163737</v>
      </c>
      <c r="N85" s="4">
        <f t="shared" si="86"/>
        <v>1.838641808594583</v>
      </c>
      <c r="O85" s="4">
        <f t="shared" si="116"/>
        <v>6.9993209042972913</v>
      </c>
      <c r="P85" s="4">
        <f t="shared" si="117"/>
        <v>5.1606790957027089</v>
      </c>
      <c r="Q85" s="4">
        <f t="shared" si="87"/>
        <v>0</v>
      </c>
      <c r="R85" s="4">
        <f t="shared" si="88"/>
        <v>6.1031235425006756</v>
      </c>
      <c r="S85" s="360">
        <f t="shared" si="89"/>
        <v>0.33523305277523391</v>
      </c>
      <c r="T85" s="360">
        <f t="shared" si="90"/>
        <v>0.3</v>
      </c>
      <c r="U85" s="360">
        <f t="shared" si="91"/>
        <v>0.65273861752870865</v>
      </c>
      <c r="V85" s="4">
        <f t="shared" si="118"/>
        <v>0.53077017156769146</v>
      </c>
      <c r="W85" s="360">
        <f t="shared" si="92"/>
        <v>5.6343395005199325E-4</v>
      </c>
      <c r="X85" s="360">
        <f t="shared" si="119"/>
        <v>5.6343395005199325E-4</v>
      </c>
      <c r="Y85" s="4">
        <f t="shared" si="93"/>
        <v>2.6165206280668767</v>
      </c>
      <c r="Z85" s="360">
        <f t="shared" si="120"/>
        <v>6.8461801970994829E-3</v>
      </c>
      <c r="AA85" s="541">
        <f t="shared" si="121"/>
        <v>6.8461801970994829E-3</v>
      </c>
      <c r="AB85" s="360">
        <f t="shared" si="94"/>
        <v>3.006710839085124</v>
      </c>
      <c r="AC85" s="360">
        <f t="shared" si="95"/>
        <v>5.4241860419231826E-2</v>
      </c>
      <c r="AD85" s="360">
        <f t="shared" si="96"/>
        <v>0.4822601426927503</v>
      </c>
      <c r="AE85" s="360">
        <f t="shared" si="97"/>
        <v>0.63444464999999983</v>
      </c>
      <c r="AF85" s="360">
        <f t="shared" si="98"/>
        <v>0</v>
      </c>
      <c r="AG85" s="360">
        <f t="shared" si="99"/>
        <v>1.1806810886108061</v>
      </c>
      <c r="AH85" s="360">
        <f t="shared" si="100"/>
        <v>5.3111022307195359</v>
      </c>
      <c r="AI85" s="360">
        <f t="shared" si="101"/>
        <v>7.0519517262885079E-2</v>
      </c>
      <c r="AJ85" s="360">
        <f t="shared" si="102"/>
        <v>0.2502528</v>
      </c>
      <c r="AK85" s="360">
        <f t="shared" si="103"/>
        <v>0.32536117993186059</v>
      </c>
      <c r="AL85" s="360">
        <f t="shared" si="104"/>
        <v>0.2502528</v>
      </c>
      <c r="AM85" s="360">
        <f t="shared" si="105"/>
        <v>2.0109599999999999</v>
      </c>
      <c r="AN85" s="360">
        <f t="shared" si="106"/>
        <v>0.37248116975025997</v>
      </c>
      <c r="AO85" s="360">
        <f t="shared" si="107"/>
        <v>7.3499999999999998E-4</v>
      </c>
      <c r="AP85" s="360">
        <f t="shared" si="108"/>
        <v>0.34650000000000003</v>
      </c>
      <c r="AQ85" s="360">
        <f t="shared" si="109"/>
        <v>1.3167</v>
      </c>
      <c r="AR85" s="360">
        <f t="shared" si="110"/>
        <v>1.1088</v>
      </c>
      <c r="AS85" s="360">
        <f t="shared" si="129"/>
        <v>0.34723500000000002</v>
      </c>
      <c r="AT85" s="360">
        <f t="shared" si="122"/>
        <v>5.1471194699687874</v>
      </c>
      <c r="AU85">
        <f t="shared" si="111"/>
        <v>30.4</v>
      </c>
      <c r="AV85" s="542">
        <f t="shared" si="123"/>
        <v>0.85520290963893097</v>
      </c>
      <c r="AW85" s="551">
        <f t="shared" si="112"/>
        <v>125.3957344305403</v>
      </c>
      <c r="AX85" s="551">
        <f t="shared" si="113"/>
        <v>37.581163237410699</v>
      </c>
      <c r="AY85" s="9"/>
      <c r="AZ85" s="4">
        <f t="shared" si="124"/>
        <v>85.520290963893103</v>
      </c>
      <c r="BA85" s="360">
        <f t="shared" si="114"/>
        <v>0.65273861752870865</v>
      </c>
      <c r="BB85" s="360">
        <f t="shared" si="125"/>
        <v>3.5170022685426665</v>
      </c>
      <c r="BC85" s="360">
        <f t="shared" si="126"/>
        <v>2.5079146886108061</v>
      </c>
      <c r="BD85" s="360">
        <f t="shared" si="127"/>
        <v>0.98897797993186054</v>
      </c>
      <c r="BE85" s="360">
        <f t="shared" si="128"/>
        <v>0.37248116975025997</v>
      </c>
      <c r="BK85" s="18"/>
      <c r="BL85" s="19"/>
    </row>
    <row r="86" spans="1:64" x14ac:dyDescent="0.2">
      <c r="G86">
        <v>77</v>
      </c>
      <c r="H86" s="548">
        <f t="shared" si="82"/>
        <v>21</v>
      </c>
      <c r="I86" s="4">
        <f t="shared" si="83"/>
        <v>1</v>
      </c>
      <c r="J86" s="360">
        <f t="shared" si="115"/>
        <v>6.16</v>
      </c>
      <c r="K86" s="4">
        <f t="shared" si="84"/>
        <v>1.6296296296296295</v>
      </c>
      <c r="L86" s="4"/>
      <c r="M86" s="360">
        <f t="shared" si="85"/>
        <v>0.24276569816407192</v>
      </c>
      <c r="N86" s="4">
        <f t="shared" si="86"/>
        <v>1.8389617238641858</v>
      </c>
      <c r="O86" s="4">
        <f t="shared" si="116"/>
        <v>7.079480861932093</v>
      </c>
      <c r="P86" s="4">
        <f t="shared" si="117"/>
        <v>5.2405191380679073</v>
      </c>
      <c r="Q86" s="4">
        <f t="shared" si="87"/>
        <v>0</v>
      </c>
      <c r="R86" s="4">
        <f t="shared" si="88"/>
        <v>6.1828322812839147</v>
      </c>
      <c r="S86" s="360">
        <f t="shared" si="89"/>
        <v>0.34404673516637807</v>
      </c>
      <c r="T86" s="360">
        <f t="shared" si="90"/>
        <v>0.3</v>
      </c>
      <c r="U86" s="360">
        <f t="shared" si="91"/>
        <v>0.66227501983489356</v>
      </c>
      <c r="V86" s="4">
        <f t="shared" si="118"/>
        <v>0.53086252315120297</v>
      </c>
      <c r="W86" s="360">
        <f t="shared" si="92"/>
        <v>5.6363003697292306E-4</v>
      </c>
      <c r="X86" s="360">
        <f t="shared" si="119"/>
        <v>5.6363003697292306E-4</v>
      </c>
      <c r="Y86" s="4">
        <f t="shared" si="93"/>
        <v>2.6509178316522179</v>
      </c>
      <c r="Z86" s="360">
        <f t="shared" si="120"/>
        <v>7.027365350171697E-3</v>
      </c>
      <c r="AA86" s="541">
        <f t="shared" si="121"/>
        <v>7.027365350171697E-3</v>
      </c>
      <c r="AB86" s="360">
        <f t="shared" si="94"/>
        <v>3.0463593182634567</v>
      </c>
      <c r="AC86" s="360">
        <f t="shared" si="95"/>
        <v>5.5681830575823564E-2</v>
      </c>
      <c r="AD86" s="360">
        <f t="shared" si="96"/>
        <v>0.48860567088607598</v>
      </c>
      <c r="AE86" s="360">
        <f t="shared" si="97"/>
        <v>0.63444464999999983</v>
      </c>
      <c r="AF86" s="360">
        <f t="shared" si="98"/>
        <v>0</v>
      </c>
      <c r="AG86" s="360">
        <f t="shared" si="99"/>
        <v>1.1887936710445679</v>
      </c>
      <c r="AH86" s="360">
        <f t="shared" si="100"/>
        <v>5.3802518456403012</v>
      </c>
      <c r="AI86" s="360">
        <f t="shared" si="101"/>
        <v>7.236777480628967E-2</v>
      </c>
      <c r="AJ86" s="360">
        <f t="shared" si="102"/>
        <v>0.25354559999999998</v>
      </c>
      <c r="AK86" s="360">
        <f t="shared" si="103"/>
        <v>0.33069977619269025</v>
      </c>
      <c r="AL86" s="360">
        <f t="shared" si="104"/>
        <v>0.25354559999999998</v>
      </c>
      <c r="AM86" s="360">
        <f t="shared" si="105"/>
        <v>2.03742</v>
      </c>
      <c r="AN86" s="360">
        <f t="shared" si="106"/>
        <v>0.38227415018486455</v>
      </c>
      <c r="AO86" s="360">
        <f t="shared" si="107"/>
        <v>7.3499999999999998E-4</v>
      </c>
      <c r="AP86" s="360">
        <f t="shared" si="108"/>
        <v>0.34650000000000003</v>
      </c>
      <c r="AQ86" s="360">
        <f t="shared" si="109"/>
        <v>1.3167</v>
      </c>
      <c r="AR86" s="360">
        <f t="shared" si="110"/>
        <v>1.1088</v>
      </c>
      <c r="AS86" s="360">
        <f t="shared" si="129"/>
        <v>0.34723500000000002</v>
      </c>
      <c r="AT86" s="360">
        <f t="shared" si="122"/>
        <v>5.2098342126441608</v>
      </c>
      <c r="AU86">
        <f t="shared" si="111"/>
        <v>30.8</v>
      </c>
      <c r="AV86" s="542">
        <f t="shared" si="123"/>
        <v>0.85532190506962036</v>
      </c>
      <c r="AW86" s="551">
        <f t="shared" si="112"/>
        <v>126.6745435522284</v>
      </c>
      <c r="AX86" s="551">
        <f t="shared" si="113"/>
        <v>38.115838295322227</v>
      </c>
      <c r="AY86" s="9"/>
      <c r="AZ86" s="4">
        <f t="shared" si="124"/>
        <v>85.532190506962039</v>
      </c>
      <c r="BA86" s="360">
        <f t="shared" si="114"/>
        <v>0.66227501983489356</v>
      </c>
      <c r="BB86" s="360">
        <f t="shared" si="125"/>
        <v>3.5569134472372581</v>
      </c>
      <c r="BC86" s="360">
        <f t="shared" si="126"/>
        <v>2.533490871044568</v>
      </c>
      <c r="BD86" s="360">
        <f t="shared" si="127"/>
        <v>1.0030483761926903</v>
      </c>
      <c r="BE86" s="360">
        <f t="shared" si="128"/>
        <v>0.38227415018486455</v>
      </c>
      <c r="BK86" s="18"/>
      <c r="BL86" s="19"/>
    </row>
    <row r="87" spans="1:64" x14ac:dyDescent="0.2">
      <c r="G87">
        <v>78</v>
      </c>
      <c r="H87" s="548">
        <f t="shared" si="82"/>
        <v>21</v>
      </c>
      <c r="I87" s="4">
        <f t="shared" si="83"/>
        <v>1</v>
      </c>
      <c r="J87" s="360">
        <f t="shared" si="115"/>
        <v>6.24</v>
      </c>
      <c r="K87" s="4">
        <f t="shared" si="84"/>
        <v>1.6507936507936507</v>
      </c>
      <c r="L87" s="4"/>
      <c r="M87" s="360">
        <f t="shared" si="85"/>
        <v>0.24282623656404584</v>
      </c>
      <c r="N87" s="4">
        <f t="shared" si="86"/>
        <v>1.8392815472773043</v>
      </c>
      <c r="O87" s="4">
        <f t="shared" si="116"/>
        <v>7.1596407736386523</v>
      </c>
      <c r="P87" s="4">
        <f t="shared" si="117"/>
        <v>5.3203592263613482</v>
      </c>
      <c r="Q87" s="4">
        <f t="shared" si="87"/>
        <v>0</v>
      </c>
      <c r="R87" s="4">
        <f t="shared" si="88"/>
        <v>6.2625484469859583</v>
      </c>
      <c r="S87" s="360">
        <f t="shared" si="89"/>
        <v>0.35297561745761613</v>
      </c>
      <c r="T87" s="360">
        <f t="shared" si="90"/>
        <v>0.3</v>
      </c>
      <c r="U87" s="360">
        <f t="shared" si="91"/>
        <v>0.67195017982764971</v>
      </c>
      <c r="V87" s="4">
        <f t="shared" si="118"/>
        <v>0.53095484821803152</v>
      </c>
      <c r="W87" s="360">
        <f t="shared" si="92"/>
        <v>5.6382610169246577E-4</v>
      </c>
      <c r="X87" s="360">
        <f t="shared" si="119"/>
        <v>5.6382610169246577E-4</v>
      </c>
      <c r="Y87" s="4">
        <f t="shared" si="93"/>
        <v>2.6853239271115621</v>
      </c>
      <c r="Z87" s="360">
        <f t="shared" si="120"/>
        <v>7.2109645935178619E-3</v>
      </c>
      <c r="AA87" s="541">
        <f t="shared" si="121"/>
        <v>7.2109645935178619E-3</v>
      </c>
      <c r="AB87" s="360">
        <f t="shared" si="94"/>
        <v>3.0860211849583066</v>
      </c>
      <c r="AC87" s="360">
        <f t="shared" si="95"/>
        <v>5.7141160524068826E-2</v>
      </c>
      <c r="AD87" s="360">
        <f t="shared" si="96"/>
        <v>0.4949511990794016</v>
      </c>
      <c r="AE87" s="360">
        <f t="shared" si="97"/>
        <v>0.63444464999999983</v>
      </c>
      <c r="AF87" s="360">
        <f t="shared" si="98"/>
        <v>0</v>
      </c>
      <c r="AG87" s="360">
        <f t="shared" si="99"/>
        <v>1.196932918278494</v>
      </c>
      <c r="AH87" s="360">
        <f t="shared" si="100"/>
        <v>5.4494023797876006</v>
      </c>
      <c r="AI87" s="360">
        <f t="shared" si="101"/>
        <v>7.4239965742086911E-2</v>
      </c>
      <c r="AJ87" s="360">
        <f t="shared" si="102"/>
        <v>0.25683839999999997</v>
      </c>
      <c r="AK87" s="360">
        <f t="shared" si="103"/>
        <v>0.33606830564165441</v>
      </c>
      <c r="AL87" s="360">
        <f t="shared" si="104"/>
        <v>0.25683839999999997</v>
      </c>
      <c r="AM87" s="360">
        <f t="shared" si="105"/>
        <v>2.0638799999999997</v>
      </c>
      <c r="AN87" s="360">
        <f t="shared" si="106"/>
        <v>0.39219513050846239</v>
      </c>
      <c r="AO87" s="360">
        <f t="shared" si="107"/>
        <v>7.3499999999999998E-4</v>
      </c>
      <c r="AP87" s="360">
        <f t="shared" si="108"/>
        <v>0.34650000000000003</v>
      </c>
      <c r="AQ87" s="360">
        <f t="shared" si="109"/>
        <v>1.3167</v>
      </c>
      <c r="AR87" s="360">
        <f t="shared" si="110"/>
        <v>1.1088</v>
      </c>
      <c r="AS87" s="360">
        <f t="shared" si="129"/>
        <v>0.34723500000000002</v>
      </c>
      <c r="AT87" s="360">
        <f t="shared" si="122"/>
        <v>5.2728747249514711</v>
      </c>
      <c r="AU87">
        <f t="shared" si="111"/>
        <v>31.200000000000003</v>
      </c>
      <c r="AV87" s="542">
        <f t="shared" si="123"/>
        <v>0.85543024056329064</v>
      </c>
      <c r="AW87" s="551">
        <f t="shared" si="112"/>
        <v>127.95468591392469</v>
      </c>
      <c r="AX87" s="551">
        <f t="shared" si="113"/>
        <v>38.651650814382869</v>
      </c>
      <c r="AY87" s="9"/>
      <c r="AZ87" s="4">
        <f t="shared" si="124"/>
        <v>85.54302405632906</v>
      </c>
      <c r="BA87" s="360">
        <f t="shared" si="114"/>
        <v>0.67195017982764971</v>
      </c>
      <c r="BB87" s="360">
        <f t="shared" si="125"/>
        <v>3.596881223920148</v>
      </c>
      <c r="BC87" s="360">
        <f t="shared" si="126"/>
        <v>2.5590937182784939</v>
      </c>
      <c r="BD87" s="360">
        <f t="shared" si="127"/>
        <v>1.0171487056416544</v>
      </c>
      <c r="BE87" s="360">
        <f t="shared" si="128"/>
        <v>0.39219513050846239</v>
      </c>
      <c r="BK87" s="18"/>
      <c r="BL87" s="19"/>
    </row>
    <row r="88" spans="1:64" x14ac:dyDescent="0.2">
      <c r="G88">
        <v>79</v>
      </c>
      <c r="H88" s="548">
        <f t="shared" si="82"/>
        <v>21</v>
      </c>
      <c r="I88" s="4">
        <f t="shared" si="83"/>
        <v>1</v>
      </c>
      <c r="J88" s="360">
        <f t="shared" si="115"/>
        <v>6.32</v>
      </c>
      <c r="K88" s="4">
        <f t="shared" si="84"/>
        <v>1.6719576719576719</v>
      </c>
      <c r="L88" s="4"/>
      <c r="M88" s="360">
        <f t="shared" si="85"/>
        <v>0.24288677197178091</v>
      </c>
      <c r="N88" s="4">
        <f t="shared" si="86"/>
        <v>1.8396012788407474</v>
      </c>
      <c r="O88" s="4">
        <f t="shared" si="116"/>
        <v>7.2398006394203742</v>
      </c>
      <c r="P88" s="4">
        <f t="shared" si="117"/>
        <v>5.4001993605796264</v>
      </c>
      <c r="Q88" s="4">
        <f t="shared" si="87"/>
        <v>0</v>
      </c>
      <c r="R88" s="4">
        <f t="shared" si="88"/>
        <v>6.3422717595584563</v>
      </c>
      <c r="S88" s="360">
        <f t="shared" si="89"/>
        <v>0.36201969964883446</v>
      </c>
      <c r="T88" s="360">
        <f t="shared" si="90"/>
        <v>0.3</v>
      </c>
      <c r="U88" s="360">
        <f t="shared" si="91"/>
        <v>0.68176467920046124</v>
      </c>
      <c r="V88" s="4">
        <f t="shared" si="118"/>
        <v>0.53104714677014264</v>
      </c>
      <c r="W88" s="360">
        <f t="shared" si="92"/>
        <v>5.6402214418541888E-4</v>
      </c>
      <c r="X88" s="360">
        <f t="shared" si="119"/>
        <v>5.6402214418541888E-4</v>
      </c>
      <c r="Y88" s="4">
        <f t="shared" si="93"/>
        <v>2.7197387919826932</v>
      </c>
      <c r="Z88" s="360">
        <f t="shared" si="120"/>
        <v>7.3969790966154792E-3</v>
      </c>
      <c r="AA88" s="541">
        <f t="shared" si="121"/>
        <v>7.3969790966154792E-3</v>
      </c>
      <c r="AB88" s="360">
        <f t="shared" si="94"/>
        <v>3.1256962999892624</v>
      </c>
      <c r="AC88" s="360">
        <f t="shared" si="95"/>
        <v>5.8619864158599384E-2</v>
      </c>
      <c r="AD88" s="360">
        <f t="shared" si="96"/>
        <v>0.50129672727272723</v>
      </c>
      <c r="AE88" s="360">
        <f t="shared" si="97"/>
        <v>0.63444464999999983</v>
      </c>
      <c r="AF88" s="360">
        <f t="shared" si="98"/>
        <v>0</v>
      </c>
      <c r="AG88" s="360">
        <f t="shared" si="99"/>
        <v>1.2050989373036936</v>
      </c>
      <c r="AH88" s="360">
        <f t="shared" si="100"/>
        <v>5.5185535887881123</v>
      </c>
      <c r="AI88" s="360">
        <f t="shared" si="101"/>
        <v>7.6136084280815391E-2</v>
      </c>
      <c r="AJ88" s="360">
        <f t="shared" si="102"/>
        <v>0.26013120000000001</v>
      </c>
      <c r="AK88" s="360">
        <f t="shared" si="103"/>
        <v>0.34146687442691021</v>
      </c>
      <c r="AL88" s="360">
        <f t="shared" si="104"/>
        <v>0.26013120000000001</v>
      </c>
      <c r="AM88" s="360">
        <f t="shared" si="105"/>
        <v>2.0903399999999999</v>
      </c>
      <c r="AN88" s="360">
        <f t="shared" si="106"/>
        <v>0.40224411072092719</v>
      </c>
      <c r="AO88" s="360">
        <f t="shared" si="107"/>
        <v>7.3499999999999998E-4</v>
      </c>
      <c r="AP88" s="360">
        <f t="shared" si="108"/>
        <v>0.34650000000000003</v>
      </c>
      <c r="AQ88" s="360">
        <f t="shared" si="109"/>
        <v>1.3167</v>
      </c>
      <c r="AR88" s="360">
        <f t="shared" si="110"/>
        <v>1.1088</v>
      </c>
      <c r="AS88" s="360">
        <f t="shared" si="129"/>
        <v>0.34723500000000002</v>
      </c>
      <c r="AT88" s="360">
        <f t="shared" si="122"/>
        <v>5.3362418028927934</v>
      </c>
      <c r="AU88">
        <f t="shared" si="111"/>
        <v>31.6</v>
      </c>
      <c r="AV88" s="542">
        <f t="shared" si="123"/>
        <v>0.85552829572187639</v>
      </c>
      <c r="AW88" s="551">
        <f t="shared" si="112"/>
        <v>129.23616686518469</v>
      </c>
      <c r="AX88" s="551">
        <f t="shared" si="113"/>
        <v>39.188604828222587</v>
      </c>
      <c r="AY88" s="9"/>
      <c r="AZ88" s="4">
        <f t="shared" si="124"/>
        <v>85.552829572187633</v>
      </c>
      <c r="BA88" s="360">
        <f t="shared" si="114"/>
        <v>0.68176467920046124</v>
      </c>
      <c r="BB88" s="360">
        <f t="shared" si="125"/>
        <v>3.6369058117306037</v>
      </c>
      <c r="BC88" s="360">
        <f t="shared" si="126"/>
        <v>2.5847233373036937</v>
      </c>
      <c r="BD88" s="360">
        <f t="shared" si="127"/>
        <v>1.0312790744269102</v>
      </c>
      <c r="BE88" s="360">
        <f t="shared" si="128"/>
        <v>0.40224411072092719</v>
      </c>
      <c r="BK88" s="18"/>
      <c r="BL88" s="19"/>
    </row>
    <row r="89" spans="1:64" x14ac:dyDescent="0.2">
      <c r="G89">
        <v>80</v>
      </c>
      <c r="H89" s="548">
        <f t="shared" si="82"/>
        <v>21</v>
      </c>
      <c r="I89" s="4">
        <f t="shared" si="83"/>
        <v>1</v>
      </c>
      <c r="J89" s="360">
        <f t="shared" si="115"/>
        <v>6.4</v>
      </c>
      <c r="K89" s="4">
        <f t="shared" si="84"/>
        <v>1.693121693121693</v>
      </c>
      <c r="L89" s="4"/>
      <c r="M89" s="360">
        <f t="shared" si="85"/>
        <v>0.24294730438749906</v>
      </c>
      <c r="N89" s="4">
        <f t="shared" si="86"/>
        <v>1.8399209185613261</v>
      </c>
      <c r="O89" s="4">
        <f t="shared" si="116"/>
        <v>7.3199604592806633</v>
      </c>
      <c r="P89" s="4">
        <f t="shared" si="117"/>
        <v>5.4800395407193374</v>
      </c>
      <c r="Q89" s="4">
        <f t="shared" si="87"/>
        <v>0</v>
      </c>
      <c r="R89" s="4">
        <f t="shared" si="88"/>
        <v>6.422001952834747</v>
      </c>
      <c r="S89" s="360">
        <f t="shared" si="89"/>
        <v>0.3711789817399197</v>
      </c>
      <c r="T89" s="360">
        <f t="shared" si="90"/>
        <v>0.3</v>
      </c>
      <c r="U89" s="360">
        <f t="shared" si="91"/>
        <v>0.69171910931146141</v>
      </c>
      <c r="V89" s="4">
        <f t="shared" si="118"/>
        <v>0.53113941880950255</v>
      </c>
      <c r="W89" s="360">
        <f t="shared" si="92"/>
        <v>5.6421816442659236E-4</v>
      </c>
      <c r="X89" s="360">
        <f t="shared" si="119"/>
        <v>5.6421816442659236E-4</v>
      </c>
      <c r="Y89" s="4">
        <f t="shared" si="93"/>
        <v>2.7541623097170125</v>
      </c>
      <c r="Z89" s="360">
        <f t="shared" si="120"/>
        <v>7.585410028265749E-3</v>
      </c>
      <c r="AA89" s="541">
        <f t="shared" si="121"/>
        <v>7.585410028265749E-3</v>
      </c>
      <c r="AB89" s="360">
        <f t="shared" si="94"/>
        <v>3.1653845309502153</v>
      </c>
      <c r="AC89" s="360">
        <f t="shared" si="95"/>
        <v>6.011795537267349E-2</v>
      </c>
      <c r="AD89" s="360">
        <f t="shared" si="96"/>
        <v>0.50764225546605291</v>
      </c>
      <c r="AE89" s="360">
        <f t="shared" si="97"/>
        <v>0.63444464999999983</v>
      </c>
      <c r="AF89" s="360">
        <f t="shared" si="98"/>
        <v>0</v>
      </c>
      <c r="AG89" s="360">
        <f t="shared" si="99"/>
        <v>1.2132918357529716</v>
      </c>
      <c r="AH89" s="360">
        <f t="shared" si="100"/>
        <v>5.587705240385751</v>
      </c>
      <c r="AI89" s="360">
        <f t="shared" si="101"/>
        <v>7.8056124633585966E-2</v>
      </c>
      <c r="AJ89" s="360">
        <f t="shared" si="102"/>
        <v>0.26342399999999999</v>
      </c>
      <c r="AK89" s="360">
        <f t="shared" si="103"/>
        <v>0.34689558971064505</v>
      </c>
      <c r="AL89" s="360">
        <f t="shared" si="104"/>
        <v>0.26342399999999999</v>
      </c>
      <c r="AM89" s="360">
        <f t="shared" si="105"/>
        <v>2.1168</v>
      </c>
      <c r="AN89" s="360">
        <f t="shared" si="106"/>
        <v>0.41242109082213307</v>
      </c>
      <c r="AO89" s="360">
        <f t="shared" si="107"/>
        <v>7.3499999999999998E-4</v>
      </c>
      <c r="AP89" s="360">
        <f t="shared" si="108"/>
        <v>0.34650000000000003</v>
      </c>
      <c r="AQ89" s="360">
        <f t="shared" si="109"/>
        <v>1.3167</v>
      </c>
      <c r="AR89" s="360">
        <f t="shared" si="110"/>
        <v>1.1088</v>
      </c>
      <c r="AS89" s="360">
        <f t="shared" si="129"/>
        <v>0.34723500000000002</v>
      </c>
      <c r="AT89" s="360">
        <f t="shared" si="122"/>
        <v>5.3999362537899041</v>
      </c>
      <c r="AU89">
        <f t="shared" si="111"/>
        <v>32</v>
      </c>
      <c r="AV89" s="542">
        <f t="shared" si="123"/>
        <v>0.85561643161242817</v>
      </c>
      <c r="AW89" s="551">
        <f t="shared" si="112"/>
        <v>130.51899178764859</v>
      </c>
      <c r="AX89" s="551">
        <f t="shared" si="113"/>
        <v>39.726704409004519</v>
      </c>
      <c r="AY89" s="9"/>
      <c r="AZ89" s="4">
        <f t="shared" si="124"/>
        <v>85.561643161242813</v>
      </c>
      <c r="BA89" s="360">
        <f t="shared" si="114"/>
        <v>0.69171910931146141</v>
      </c>
      <c r="BB89" s="360">
        <f t="shared" si="125"/>
        <v>3.6769874254636168</v>
      </c>
      <c r="BC89" s="360">
        <f t="shared" si="126"/>
        <v>2.6103798357529717</v>
      </c>
      <c r="BD89" s="360">
        <f t="shared" si="127"/>
        <v>1.0454395897106452</v>
      </c>
      <c r="BE89" s="360">
        <f t="shared" si="128"/>
        <v>0.41242109082213307</v>
      </c>
      <c r="BK89" s="18"/>
      <c r="BL89" s="19"/>
    </row>
    <row r="90" spans="1:64" x14ac:dyDescent="0.2">
      <c r="G90">
        <v>81</v>
      </c>
      <c r="H90" s="548">
        <f t="shared" si="82"/>
        <v>21</v>
      </c>
      <c r="I90" s="4">
        <f t="shared" si="83"/>
        <v>1</v>
      </c>
      <c r="J90" s="360">
        <f t="shared" si="115"/>
        <v>6.48</v>
      </c>
      <c r="K90" s="4">
        <f t="shared" si="84"/>
        <v>1.7142857142857144</v>
      </c>
      <c r="L90" s="4"/>
      <c r="M90" s="360">
        <f t="shared" si="85"/>
        <v>0.24300783381142205</v>
      </c>
      <c r="N90" s="4">
        <f t="shared" si="86"/>
        <v>1.8402404664458487</v>
      </c>
      <c r="O90" s="4">
        <f t="shared" si="116"/>
        <v>7.4001202332229248</v>
      </c>
      <c r="P90" s="4">
        <f t="shared" si="117"/>
        <v>5.5598797667770761</v>
      </c>
      <c r="Q90" s="4">
        <f t="shared" si="87"/>
        <v>0</v>
      </c>
      <c r="R90" s="4">
        <f t="shared" si="88"/>
        <v>6.5017387736816534</v>
      </c>
      <c r="S90" s="360">
        <f t="shared" si="89"/>
        <v>0.38045346373075867</v>
      </c>
      <c r="T90" s="360">
        <f t="shared" si="90"/>
        <v>0.3</v>
      </c>
      <c r="U90" s="360">
        <f t="shared" si="91"/>
        <v>0.70181407127570483</v>
      </c>
      <c r="V90" s="4">
        <f t="shared" si="118"/>
        <v>0.53123166433807667</v>
      </c>
      <c r="W90" s="360">
        <f t="shared" si="92"/>
        <v>5.6441416239080594E-4</v>
      </c>
      <c r="X90" s="360">
        <f t="shared" si="119"/>
        <v>5.6441416239080594E-4</v>
      </c>
      <c r="Y90" s="4">
        <f t="shared" si="93"/>
        <v>2.7885943693182971</v>
      </c>
      <c r="Z90" s="360">
        <f t="shared" si="120"/>
        <v>7.7762585565937115E-3</v>
      </c>
      <c r="AA90" s="541">
        <f t="shared" si="121"/>
        <v>7.7762585565937115E-3</v>
      </c>
      <c r="AB90" s="360">
        <f t="shared" si="94"/>
        <v>3.2050857517955236</v>
      </c>
      <c r="AC90" s="360">
        <f t="shared" si="95"/>
        <v>6.1635448058176064E-2</v>
      </c>
      <c r="AD90" s="360">
        <f t="shared" si="96"/>
        <v>0.51398778365937858</v>
      </c>
      <c r="AE90" s="360">
        <f t="shared" si="97"/>
        <v>0.63444464999999983</v>
      </c>
      <c r="AF90" s="360">
        <f t="shared" si="98"/>
        <v>0</v>
      </c>
      <c r="AG90" s="360">
        <f t="shared" si="99"/>
        <v>1.2215117219053224</v>
      </c>
      <c r="AH90" s="360">
        <f t="shared" si="100"/>
        <v>5.6568571137012764</v>
      </c>
      <c r="AI90" s="360">
        <f t="shared" si="101"/>
        <v>8.000008101208185E-2</v>
      </c>
      <c r="AJ90" s="360">
        <f t="shared" si="102"/>
        <v>0.26671679999999998</v>
      </c>
      <c r="AK90" s="360">
        <f t="shared" si="103"/>
        <v>0.35235455967589135</v>
      </c>
      <c r="AL90" s="360">
        <f t="shared" si="104"/>
        <v>0.26671679999999998</v>
      </c>
      <c r="AM90" s="360">
        <f t="shared" si="105"/>
        <v>2.1432600000000002</v>
      </c>
      <c r="AN90" s="360">
        <f t="shared" si="106"/>
        <v>0.42272607081195412</v>
      </c>
      <c r="AO90" s="360">
        <f t="shared" si="107"/>
        <v>7.3499999999999998E-4</v>
      </c>
      <c r="AP90" s="360">
        <f t="shared" si="108"/>
        <v>0.34650000000000003</v>
      </c>
      <c r="AQ90" s="360">
        <f t="shared" si="109"/>
        <v>1.3167</v>
      </c>
      <c r="AR90" s="360">
        <f t="shared" si="110"/>
        <v>1.1088</v>
      </c>
      <c r="AS90" s="360">
        <f t="shared" si="129"/>
        <v>0.34723500000000002</v>
      </c>
      <c r="AT90" s="360">
        <f t="shared" si="122"/>
        <v>5.4639588963878589</v>
      </c>
      <c r="AU90">
        <f t="shared" si="111"/>
        <v>32.400000000000006</v>
      </c>
      <c r="AV90" s="542">
        <f t="shared" si="123"/>
        <v>0.85569499186971953</v>
      </c>
      <c r="AW90" s="551">
        <f t="shared" si="112"/>
        <v>131.80316609526614</v>
      </c>
      <c r="AX90" s="551">
        <f t="shared" si="113"/>
        <v>40.265953667683881</v>
      </c>
      <c r="AY90" s="9"/>
      <c r="AZ90" s="4">
        <f t="shared" si="124"/>
        <v>85.569499186971953</v>
      </c>
      <c r="BA90" s="360">
        <f t="shared" si="114"/>
        <v>0.70181407127570483</v>
      </c>
      <c r="BB90" s="360">
        <f t="shared" si="125"/>
        <v>3.7171262815812138</v>
      </c>
      <c r="BC90" s="360">
        <f t="shared" si="126"/>
        <v>2.6360633219053229</v>
      </c>
      <c r="BD90" s="360">
        <f t="shared" si="127"/>
        <v>1.0596303596758916</v>
      </c>
      <c r="BE90" s="360">
        <f t="shared" si="128"/>
        <v>0.42272607081195412</v>
      </c>
      <c r="BK90" s="18"/>
      <c r="BL90" s="19"/>
    </row>
    <row r="91" spans="1:64" x14ac:dyDescent="0.2">
      <c r="G91">
        <v>82</v>
      </c>
      <c r="H91" s="548">
        <f t="shared" si="82"/>
        <v>21</v>
      </c>
      <c r="I91" s="4">
        <f t="shared" si="83"/>
        <v>1</v>
      </c>
      <c r="J91" s="360">
        <f t="shared" si="115"/>
        <v>6.56</v>
      </c>
      <c r="K91" s="4">
        <f t="shared" si="84"/>
        <v>1.7354497354497351</v>
      </c>
      <c r="L91" s="4"/>
      <c r="M91" s="360">
        <f t="shared" si="85"/>
        <v>0.24306836024377171</v>
      </c>
      <c r="N91" s="4">
        <f t="shared" si="86"/>
        <v>1.8405599225011235</v>
      </c>
      <c r="O91" s="4">
        <f t="shared" si="116"/>
        <v>7.4802799612505613</v>
      </c>
      <c r="P91" s="4">
        <f t="shared" si="117"/>
        <v>5.6397200387494379</v>
      </c>
      <c r="Q91" s="4">
        <f t="shared" si="87"/>
        <v>0</v>
      </c>
      <c r="R91" s="4">
        <f t="shared" si="88"/>
        <v>6.5814819812126233</v>
      </c>
      <c r="S91" s="360">
        <f t="shared" si="89"/>
        <v>0.3898431456212379</v>
      </c>
      <c r="T91" s="360">
        <f t="shared" si="90"/>
        <v>0.3</v>
      </c>
      <c r="U91" s="360">
        <f t="shared" si="91"/>
        <v>0.71205017605924537</v>
      </c>
      <c r="V91" s="4">
        <f t="shared" si="118"/>
        <v>0.53132388335783021</v>
      </c>
      <c r="W91" s="360">
        <f t="shared" si="92"/>
        <v>5.646101380528903E-4</v>
      </c>
      <c r="X91" s="360">
        <f t="shared" si="119"/>
        <v>5.646101380528903E-4</v>
      </c>
      <c r="Y91" s="4">
        <f t="shared" si="93"/>
        <v>2.8230348650075872</v>
      </c>
      <c r="Z91" s="360">
        <f t="shared" si="120"/>
        <v>7.9695258490484061E-3</v>
      </c>
      <c r="AA91" s="541">
        <f t="shared" si="121"/>
        <v>7.9695258490484061E-3</v>
      </c>
      <c r="AB91" s="360">
        <f t="shared" si="94"/>
        <v>3.2447998424561004</v>
      </c>
      <c r="AC91" s="360">
        <f t="shared" si="95"/>
        <v>6.3172356105618804E-2</v>
      </c>
      <c r="AD91" s="360">
        <f t="shared" si="96"/>
        <v>0.52033331185270426</v>
      </c>
      <c r="AE91" s="360">
        <f t="shared" si="97"/>
        <v>0.63444464999999983</v>
      </c>
      <c r="AF91" s="360">
        <f t="shared" si="98"/>
        <v>0</v>
      </c>
      <c r="AG91" s="360">
        <f t="shared" si="99"/>
        <v>1.2297587046904599</v>
      </c>
      <c r="AH91" s="360">
        <f t="shared" si="100"/>
        <v>5.726008998545435</v>
      </c>
      <c r="AI91" s="360">
        <f t="shared" si="101"/>
        <v>8.1967947628558233E-2</v>
      </c>
      <c r="AJ91" s="360">
        <f t="shared" si="102"/>
        <v>0.27000959999999996</v>
      </c>
      <c r="AK91" s="360">
        <f t="shared" si="103"/>
        <v>0.35784389353342771</v>
      </c>
      <c r="AL91" s="360">
        <f t="shared" si="104"/>
        <v>0.27000959999999996</v>
      </c>
      <c r="AM91" s="360">
        <f t="shared" si="105"/>
        <v>2.1697199999999994</v>
      </c>
      <c r="AN91" s="360">
        <f t="shared" si="106"/>
        <v>0.43315905069026434</v>
      </c>
      <c r="AO91" s="360">
        <f t="shared" si="107"/>
        <v>7.3499999999999998E-4</v>
      </c>
      <c r="AP91" s="360">
        <f t="shared" si="108"/>
        <v>0.34650000000000003</v>
      </c>
      <c r="AQ91" s="360">
        <f t="shared" si="109"/>
        <v>1.3167</v>
      </c>
      <c r="AR91" s="360">
        <f t="shared" si="110"/>
        <v>1.1088</v>
      </c>
      <c r="AS91" s="360">
        <f t="shared" si="129"/>
        <v>0.34723500000000002</v>
      </c>
      <c r="AT91" s="360">
        <f t="shared" si="122"/>
        <v>5.5283105609604979</v>
      </c>
      <c r="AU91">
        <f t="shared" si="111"/>
        <v>32.799999999999997</v>
      </c>
      <c r="AV91" s="542">
        <f t="shared" si="123"/>
        <v>0.85576430372093182</v>
      </c>
      <c r="AW91" s="551">
        <f t="shared" si="112"/>
        <v>133.08869523452299</v>
      </c>
      <c r="AX91" s="551">
        <f t="shared" si="113"/>
        <v>40.806356754270247</v>
      </c>
      <c r="AY91" s="9"/>
      <c r="AZ91" s="4">
        <f t="shared" si="124"/>
        <v>85.576430372093185</v>
      </c>
      <c r="BA91" s="360">
        <f t="shared" si="114"/>
        <v>0.71205017605924537</v>
      </c>
      <c r="BB91" s="360">
        <f t="shared" si="125"/>
        <v>3.7573225982238871</v>
      </c>
      <c r="BC91" s="360">
        <f t="shared" si="126"/>
        <v>2.6617739046904596</v>
      </c>
      <c r="BD91" s="360">
        <f t="shared" si="127"/>
        <v>1.0738514935334276</v>
      </c>
      <c r="BE91" s="360">
        <f t="shared" si="128"/>
        <v>0.43315905069026434</v>
      </c>
      <c r="BK91" s="18"/>
      <c r="BL91" s="19"/>
    </row>
    <row r="92" spans="1:64" x14ac:dyDescent="0.2">
      <c r="G92">
        <v>83</v>
      </c>
      <c r="H92" s="548">
        <f t="shared" si="82"/>
        <v>21</v>
      </c>
      <c r="I92" s="4">
        <f t="shared" si="83"/>
        <v>1</v>
      </c>
      <c r="J92" s="360">
        <f t="shared" si="115"/>
        <v>6.64</v>
      </c>
      <c r="K92" s="4">
        <f t="shared" si="84"/>
        <v>1.7566137566137563</v>
      </c>
      <c r="L92" s="4"/>
      <c r="M92" s="360">
        <f t="shared" si="85"/>
        <v>0.24312888368476979</v>
      </c>
      <c r="N92" s="4">
        <f t="shared" si="86"/>
        <v>1.840879286733959</v>
      </c>
      <c r="O92" s="4">
        <f t="shared" si="116"/>
        <v>7.5604396433669789</v>
      </c>
      <c r="P92" s="4">
        <f t="shared" si="117"/>
        <v>5.7195603566330204</v>
      </c>
      <c r="Q92" s="4">
        <f t="shared" si="87"/>
        <v>0</v>
      </c>
      <c r="R92" s="4">
        <f t="shared" si="88"/>
        <v>6.6612313460571118</v>
      </c>
      <c r="S92" s="360">
        <f t="shared" si="89"/>
        <v>0.39934802741124453</v>
      </c>
      <c r="T92" s="360">
        <f t="shared" si="90"/>
        <v>0.3</v>
      </c>
      <c r="U92" s="360">
        <f t="shared" si="91"/>
        <v>0.72242804457505327</v>
      </c>
      <c r="V92" s="4">
        <f t="shared" si="118"/>
        <v>0.53141607587072881</v>
      </c>
      <c r="W92" s="360">
        <f t="shared" si="92"/>
        <v>5.6480609138768849E-4</v>
      </c>
      <c r="X92" s="360">
        <f t="shared" si="119"/>
        <v>5.6480609138768849E-4</v>
      </c>
      <c r="Y92" s="4">
        <f t="shared" si="93"/>
        <v>2.8574836959120193</v>
      </c>
      <c r="Z92" s="360">
        <f t="shared" si="120"/>
        <v>8.1652130724030134E-3</v>
      </c>
      <c r="AA92" s="541">
        <f t="shared" si="121"/>
        <v>8.1652130724030134E-3</v>
      </c>
      <c r="AB92" s="360">
        <f t="shared" si="94"/>
        <v>3.2845266884829463</v>
      </c>
      <c r="AC92" s="360">
        <f t="shared" si="95"/>
        <v>6.4728693404140503E-2</v>
      </c>
      <c r="AD92" s="360">
        <f t="shared" si="96"/>
        <v>0.52667884004602994</v>
      </c>
      <c r="AE92" s="360">
        <f t="shared" si="97"/>
        <v>0.63444464999999983</v>
      </c>
      <c r="AF92" s="360">
        <f t="shared" si="98"/>
        <v>0</v>
      </c>
      <c r="AG92" s="360">
        <f t="shared" si="99"/>
        <v>1.2380328936933886</v>
      </c>
      <c r="AH92" s="360">
        <f t="shared" si="100"/>
        <v>5.7951606947812149</v>
      </c>
      <c r="AI92" s="360">
        <f t="shared" si="101"/>
        <v>8.3959718695842719E-2</v>
      </c>
      <c r="AJ92" s="360">
        <f t="shared" si="102"/>
        <v>0.27330239999999995</v>
      </c>
      <c r="AK92" s="360">
        <f t="shared" si="103"/>
        <v>0.36336370152876984</v>
      </c>
      <c r="AL92" s="360">
        <f t="shared" si="104"/>
        <v>0.27330239999999995</v>
      </c>
      <c r="AM92" s="360">
        <f t="shared" si="105"/>
        <v>2.19618</v>
      </c>
      <c r="AN92" s="360">
        <f t="shared" si="106"/>
        <v>0.44372003045693836</v>
      </c>
      <c r="AO92" s="360">
        <f t="shared" si="107"/>
        <v>7.3499999999999998E-4</v>
      </c>
      <c r="AP92" s="360">
        <f t="shared" si="108"/>
        <v>0.34650000000000003</v>
      </c>
      <c r="AQ92" s="360">
        <f t="shared" si="109"/>
        <v>1.3167</v>
      </c>
      <c r="AR92" s="360">
        <f t="shared" si="110"/>
        <v>1.1088</v>
      </c>
      <c r="AS92" s="360">
        <f t="shared" si="129"/>
        <v>0.34723500000000002</v>
      </c>
      <c r="AT92" s="360">
        <f t="shared" si="122"/>
        <v>5.5929920894179403</v>
      </c>
      <c r="AU92">
        <f t="shared" si="111"/>
        <v>33.199999999999996</v>
      </c>
      <c r="AV92" s="542">
        <f t="shared" si="123"/>
        <v>0.85582467893876091</v>
      </c>
      <c r="AW92" s="551">
        <f t="shared" si="112"/>
        <v>134.37558468466943</v>
      </c>
      <c r="AX92" s="551">
        <f t="shared" si="113"/>
        <v>41.347917858093254</v>
      </c>
      <c r="AY92" s="9"/>
      <c r="AZ92" s="4">
        <f t="shared" si="124"/>
        <v>85.582467893876085</v>
      </c>
      <c r="BA92" s="360">
        <f t="shared" si="114"/>
        <v>0.72242804457505327</v>
      </c>
      <c r="BB92" s="360">
        <f t="shared" si="125"/>
        <v>3.7975765952221585</v>
      </c>
      <c r="BC92" s="360">
        <f t="shared" si="126"/>
        <v>2.6875116936933887</v>
      </c>
      <c r="BD92" s="360">
        <f t="shared" si="127"/>
        <v>1.0881031015287699</v>
      </c>
      <c r="BE92" s="360">
        <f t="shared" si="128"/>
        <v>0.44372003045693836</v>
      </c>
      <c r="BK92" s="18"/>
      <c r="BL92" s="19"/>
    </row>
    <row r="93" spans="1:64" x14ac:dyDescent="0.2">
      <c r="G93">
        <v>84</v>
      </c>
      <c r="H93" s="548">
        <f t="shared" si="82"/>
        <v>21</v>
      </c>
      <c r="I93" s="4">
        <f t="shared" si="83"/>
        <v>1</v>
      </c>
      <c r="J93" s="360">
        <f t="shared" si="115"/>
        <v>6.72</v>
      </c>
      <c r="K93" s="4">
        <f t="shared" si="84"/>
        <v>1.7777777777777777</v>
      </c>
      <c r="L93" s="4"/>
      <c r="M93" s="360">
        <f t="shared" si="85"/>
        <v>0.24318940413463808</v>
      </c>
      <c r="N93" s="4">
        <f t="shared" si="86"/>
        <v>1.8411985591511608</v>
      </c>
      <c r="O93" s="4">
        <f t="shared" si="116"/>
        <v>7.6405992795755804</v>
      </c>
      <c r="P93" s="4">
        <f t="shared" si="117"/>
        <v>5.7994007204244191</v>
      </c>
      <c r="Q93" s="4">
        <f t="shared" si="87"/>
        <v>0</v>
      </c>
      <c r="R93" s="4">
        <f t="shared" si="88"/>
        <v>6.7409866496815596</v>
      </c>
      <c r="S93" s="360">
        <f t="shared" si="89"/>
        <v>0.40896810910066517</v>
      </c>
      <c r="T93" s="360">
        <f t="shared" si="90"/>
        <v>0.3</v>
      </c>
      <c r="U93" s="360">
        <f t="shared" si="91"/>
        <v>0.73294830778079678</v>
      </c>
      <c r="V93" s="4">
        <f t="shared" si="118"/>
        <v>0.53150824187873691</v>
      </c>
      <c r="W93" s="360">
        <f t="shared" si="92"/>
        <v>5.6500202237005188E-4</v>
      </c>
      <c r="X93" s="360">
        <f t="shared" si="119"/>
        <v>5.6500202237005188E-4</v>
      </c>
      <c r="Y93" s="4">
        <f t="shared" si="93"/>
        <v>2.891940765775646</v>
      </c>
      <c r="Z93" s="360">
        <f t="shared" si="120"/>
        <v>8.3633213927550298E-3</v>
      </c>
      <c r="AA93" s="541">
        <f t="shared" si="121"/>
        <v>8.3633213927550298E-3</v>
      </c>
      <c r="AB93" s="360">
        <f t="shared" si="94"/>
        <v>3.3242661807158522</v>
      </c>
      <c r="AC93" s="360">
        <f t="shared" si="95"/>
        <v>6.6304473841506964E-2</v>
      </c>
      <c r="AD93" s="360">
        <f t="shared" si="96"/>
        <v>0.53302436823935562</v>
      </c>
      <c r="AE93" s="360">
        <f t="shared" si="97"/>
        <v>0.63444464999999983</v>
      </c>
      <c r="AF93" s="360">
        <f t="shared" si="98"/>
        <v>0</v>
      </c>
      <c r="AG93" s="360">
        <f t="shared" si="99"/>
        <v>1.2463343991590177</v>
      </c>
      <c r="AH93" s="360">
        <f t="shared" si="100"/>
        <v>5.8643120117311174</v>
      </c>
      <c r="AI93" s="360">
        <f t="shared" si="101"/>
        <v>8.5975388427334667E-2</v>
      </c>
      <c r="AJ93" s="360">
        <f t="shared" si="102"/>
        <v>0.27659519999999993</v>
      </c>
      <c r="AK93" s="360">
        <f t="shared" si="103"/>
        <v>0.36891409494925065</v>
      </c>
      <c r="AL93" s="360">
        <f t="shared" si="104"/>
        <v>0.27659519999999993</v>
      </c>
      <c r="AM93" s="360">
        <f t="shared" si="105"/>
        <v>2.2226399999999997</v>
      </c>
      <c r="AN93" s="360">
        <f t="shared" si="106"/>
        <v>0.4544090101118502</v>
      </c>
      <c r="AO93" s="360">
        <f t="shared" si="107"/>
        <v>7.3499999999999998E-4</v>
      </c>
      <c r="AP93" s="360">
        <f t="shared" si="108"/>
        <v>0.34650000000000003</v>
      </c>
      <c r="AQ93" s="360">
        <f t="shared" si="109"/>
        <v>1.3167</v>
      </c>
      <c r="AR93" s="360">
        <f t="shared" si="110"/>
        <v>1.1088</v>
      </c>
      <c r="AS93" s="360">
        <f t="shared" si="129"/>
        <v>0.34723500000000002</v>
      </c>
      <c r="AT93" s="360">
        <f t="shared" si="122"/>
        <v>5.6580043354160399</v>
      </c>
      <c r="AU93">
        <f t="shared" si="111"/>
        <v>33.6</v>
      </c>
      <c r="AV93" s="542">
        <f t="shared" si="123"/>
        <v>0.85587641472870923</v>
      </c>
      <c r="AW93" s="551">
        <f t="shared" si="112"/>
        <v>135.66383995795087</v>
      </c>
      <c r="AX93" s="551">
        <f t="shared" si="113"/>
        <v>41.890641208071528</v>
      </c>
      <c r="AY93" s="9"/>
      <c r="AZ93" s="4">
        <f t="shared" si="124"/>
        <v>85.587641472870928</v>
      </c>
      <c r="BA93" s="360">
        <f t="shared" si="114"/>
        <v>0.73294830778079678</v>
      </c>
      <c r="BB93" s="360">
        <f t="shared" si="125"/>
        <v>3.837888494108268</v>
      </c>
      <c r="BC93" s="360">
        <f t="shared" si="126"/>
        <v>2.7132767991590176</v>
      </c>
      <c r="BD93" s="360">
        <f t="shared" si="127"/>
        <v>1.1023852949492507</v>
      </c>
      <c r="BE93" s="360">
        <f t="shared" si="128"/>
        <v>0.4544090101118502</v>
      </c>
      <c r="BK93" s="18"/>
      <c r="BL93" s="19"/>
    </row>
    <row r="94" spans="1:64" x14ac:dyDescent="0.2">
      <c r="G94">
        <v>85</v>
      </c>
      <c r="H94" s="548">
        <f t="shared" si="82"/>
        <v>21</v>
      </c>
      <c r="I94" s="4">
        <f t="shared" si="83"/>
        <v>1</v>
      </c>
      <c r="J94" s="360">
        <f t="shared" si="115"/>
        <v>6.8</v>
      </c>
      <c r="K94" s="4">
        <f t="shared" si="84"/>
        <v>1.7989417989417988</v>
      </c>
      <c r="L94" s="4"/>
      <c r="M94" s="360">
        <f t="shared" si="85"/>
        <v>0.24324992159359823</v>
      </c>
      <c r="N94" s="4">
        <f t="shared" si="86"/>
        <v>1.8415177397595355</v>
      </c>
      <c r="O94" s="4">
        <f t="shared" si="116"/>
        <v>7.7207588698797673</v>
      </c>
      <c r="P94" s="4">
        <f t="shared" si="117"/>
        <v>5.8792411301202323</v>
      </c>
      <c r="Q94" s="4">
        <f t="shared" si="87"/>
        <v>0</v>
      </c>
      <c r="R94" s="4">
        <f t="shared" si="88"/>
        <v>6.8207476837578014</v>
      </c>
      <c r="S94" s="360">
        <f t="shared" si="89"/>
        <v>0.41870339068938667</v>
      </c>
      <c r="T94" s="360">
        <f t="shared" si="90"/>
        <v>0.3</v>
      </c>
      <c r="U94" s="360">
        <f t="shared" si="91"/>
        <v>0.74361160677851867</v>
      </c>
      <c r="V94" s="4">
        <f t="shared" si="118"/>
        <v>0.53160038138381949</v>
      </c>
      <c r="W94" s="360">
        <f t="shared" si="92"/>
        <v>5.6519793097484466E-4</v>
      </c>
      <c r="X94" s="360">
        <f t="shared" si="119"/>
        <v>5.6519793097484466E-4</v>
      </c>
      <c r="Y94" s="4">
        <f t="shared" si="93"/>
        <v>2.9264059826904374</v>
      </c>
      <c r="Z94" s="360">
        <f t="shared" si="120"/>
        <v>8.5638519755263844E-3</v>
      </c>
      <c r="AA94" s="541">
        <f t="shared" si="121"/>
        <v>8.5638519755263844E-3</v>
      </c>
      <c r="AB94" s="360">
        <f t="shared" si="94"/>
        <v>3.364018214975244</v>
      </c>
      <c r="AC94" s="360">
        <f t="shared" si="95"/>
        <v>6.7899711304111363E-2</v>
      </c>
      <c r="AD94" s="360">
        <f t="shared" si="96"/>
        <v>0.53936989643268118</v>
      </c>
      <c r="AE94" s="360">
        <f t="shared" si="97"/>
        <v>0.63444464999999983</v>
      </c>
      <c r="AF94" s="360">
        <f t="shared" si="98"/>
        <v>0</v>
      </c>
      <c r="AG94" s="360">
        <f t="shared" si="99"/>
        <v>1.2546633319968108</v>
      </c>
      <c r="AH94" s="360">
        <f t="shared" si="100"/>
        <v>5.9334627676258478</v>
      </c>
      <c r="AI94" s="360">
        <f t="shared" si="101"/>
        <v>8.8014951037005462E-2</v>
      </c>
      <c r="AJ94" s="360">
        <f t="shared" si="102"/>
        <v>0.27988799999999997</v>
      </c>
      <c r="AK94" s="360">
        <f t="shared" si="103"/>
        <v>0.37449518613119165</v>
      </c>
      <c r="AL94" s="360">
        <f t="shared" si="104"/>
        <v>0.27988799999999997</v>
      </c>
      <c r="AM94" s="360">
        <f t="shared" si="105"/>
        <v>2.2490999999999999</v>
      </c>
      <c r="AN94" s="360">
        <f t="shared" si="106"/>
        <v>0.46522598965487411</v>
      </c>
      <c r="AO94" s="360">
        <f t="shared" si="107"/>
        <v>7.3499999999999998E-4</v>
      </c>
      <c r="AP94" s="360">
        <f t="shared" si="108"/>
        <v>0.34650000000000003</v>
      </c>
      <c r="AQ94" s="360">
        <f t="shared" si="109"/>
        <v>1.3167</v>
      </c>
      <c r="AR94" s="360">
        <f t="shared" si="110"/>
        <v>1.1088</v>
      </c>
      <c r="AS94" s="360">
        <f t="shared" si="129"/>
        <v>0.34723500000000002</v>
      </c>
      <c r="AT94" s="360">
        <f t="shared" si="122"/>
        <v>5.7233481644678967</v>
      </c>
      <c r="AU94">
        <f t="shared" si="111"/>
        <v>34</v>
      </c>
      <c r="AV94" s="542">
        <f t="shared" si="123"/>
        <v>0.85591979455580314</v>
      </c>
      <c r="AW94" s="551">
        <f t="shared" si="112"/>
        <v>136.95346659984054</v>
      </c>
      <c r="AX94" s="551">
        <f t="shared" si="113"/>
        <v>42.43453107298528</v>
      </c>
      <c r="AY94" s="9"/>
      <c r="AZ94" s="4">
        <f t="shared" si="124"/>
        <v>85.591979455580315</v>
      </c>
      <c r="BA94" s="360">
        <f t="shared" si="114"/>
        <v>0.74361160677851867</v>
      </c>
      <c r="BB94" s="360">
        <f t="shared" si="125"/>
        <v>3.8782585181280025</v>
      </c>
      <c r="BC94" s="360">
        <f t="shared" si="126"/>
        <v>2.7390693319968107</v>
      </c>
      <c r="BD94" s="360">
        <f t="shared" si="127"/>
        <v>1.1166981861311915</v>
      </c>
      <c r="BE94" s="360">
        <f t="shared" si="128"/>
        <v>0.46522598965487411</v>
      </c>
      <c r="BK94" s="18"/>
      <c r="BL94" s="19"/>
    </row>
    <row r="95" spans="1:64" x14ac:dyDescent="0.2">
      <c r="G95">
        <v>86</v>
      </c>
      <c r="H95" s="548">
        <f t="shared" si="82"/>
        <v>21</v>
      </c>
      <c r="I95" s="4">
        <f t="shared" si="83"/>
        <v>1</v>
      </c>
      <c r="J95" s="360">
        <f t="shared" si="115"/>
        <v>6.88</v>
      </c>
      <c r="K95" s="4">
        <f t="shared" si="84"/>
        <v>1.8201058201058198</v>
      </c>
      <c r="L95" s="4"/>
      <c r="M95" s="360">
        <f t="shared" si="85"/>
        <v>0.24331043606187203</v>
      </c>
      <c r="N95" s="4">
        <f t="shared" si="86"/>
        <v>1.841836828565889</v>
      </c>
      <c r="O95" s="4">
        <f t="shared" si="116"/>
        <v>7.8009184142829442</v>
      </c>
      <c r="P95" s="4">
        <f t="shared" si="117"/>
        <v>5.9590815857170556</v>
      </c>
      <c r="Q95" s="4">
        <f t="shared" si="87"/>
        <v>0</v>
      </c>
      <c r="R95" s="4">
        <f t="shared" si="88"/>
        <v>6.9005142495750604</v>
      </c>
      <c r="S95" s="360">
        <f t="shared" si="89"/>
        <v>0.42855387217729607</v>
      </c>
      <c r="T95" s="360">
        <f t="shared" si="90"/>
        <v>0.3</v>
      </c>
      <c r="U95" s="360">
        <f t="shared" si="91"/>
        <v>0.75441859291624025</v>
      </c>
      <c r="V95" s="4">
        <f t="shared" si="118"/>
        <v>0.53169249438794131</v>
      </c>
      <c r="W95" s="360">
        <f t="shared" si="92"/>
        <v>5.6539381717694208E-4</v>
      </c>
      <c r="X95" s="360">
        <f t="shared" si="119"/>
        <v>5.6539381717694208E-4</v>
      </c>
      <c r="Y95" s="4">
        <f t="shared" si="93"/>
        <v>2.960879258845865</v>
      </c>
      <c r="Z95" s="360">
        <f t="shared" si="120"/>
        <v>8.7668059854636403E-3</v>
      </c>
      <c r="AA95" s="541">
        <f t="shared" si="121"/>
        <v>8.7668059854636403E-3</v>
      </c>
      <c r="AB95" s="360">
        <f t="shared" si="94"/>
        <v>3.4037826917752958</v>
      </c>
      <c r="AC95" s="360">
        <f t="shared" si="95"/>
        <v>6.951441967697447E-2</v>
      </c>
      <c r="AD95" s="360">
        <f t="shared" si="96"/>
        <v>0.54571542462600686</v>
      </c>
      <c r="AE95" s="360">
        <f t="shared" si="97"/>
        <v>0.63444464999999983</v>
      </c>
      <c r="AF95" s="360">
        <f t="shared" si="98"/>
        <v>0</v>
      </c>
      <c r="AG95" s="360">
        <f t="shared" si="99"/>
        <v>1.2630198037854834</v>
      </c>
      <c r="AH95" s="360">
        <f t="shared" si="100"/>
        <v>6.0026127890910459</v>
      </c>
      <c r="AI95" s="360">
        <f t="shared" si="101"/>
        <v>9.0078400739398462E-2</v>
      </c>
      <c r="AJ95" s="360">
        <f t="shared" si="102"/>
        <v>0.28318079999999995</v>
      </c>
      <c r="AK95" s="360">
        <f t="shared" si="103"/>
        <v>0.38010708846716468</v>
      </c>
      <c r="AL95" s="360">
        <f t="shared" si="104"/>
        <v>0.28318079999999995</v>
      </c>
      <c r="AM95" s="360">
        <f t="shared" si="105"/>
        <v>2.2755599999999996</v>
      </c>
      <c r="AN95" s="360">
        <f t="shared" si="106"/>
        <v>0.47617096908588458</v>
      </c>
      <c r="AO95" s="360">
        <f t="shared" si="107"/>
        <v>7.3499999999999998E-4</v>
      </c>
      <c r="AP95" s="360">
        <f t="shared" si="108"/>
        <v>0.34650000000000003</v>
      </c>
      <c r="AQ95" s="360">
        <f t="shared" si="109"/>
        <v>1.3167</v>
      </c>
      <c r="AR95" s="360">
        <f t="shared" si="110"/>
        <v>1.1088</v>
      </c>
      <c r="AS95" s="360">
        <f t="shared" si="129"/>
        <v>0.34723500000000002</v>
      </c>
      <c r="AT95" s="360">
        <f t="shared" si="122"/>
        <v>5.7890244540574134</v>
      </c>
      <c r="AU95">
        <f t="shared" si="111"/>
        <v>34.4</v>
      </c>
      <c r="AV95" s="542">
        <f t="shared" si="123"/>
        <v>0.85595508891550209</v>
      </c>
      <c r="AW95" s="551">
        <f t="shared" si="112"/>
        <v>138.24447018927418</v>
      </c>
      <c r="AX95" s="551">
        <f t="shared" si="113"/>
        <v>42.979591761752246</v>
      </c>
      <c r="AY95" s="9"/>
      <c r="AZ95" s="4">
        <f t="shared" si="124"/>
        <v>85.59550889155021</v>
      </c>
      <c r="BA95" s="360">
        <f t="shared" si="114"/>
        <v>0.75441859291624025</v>
      </c>
      <c r="BB95" s="360">
        <f t="shared" si="125"/>
        <v>3.9186868922526479</v>
      </c>
      <c r="BC95" s="360">
        <f t="shared" si="126"/>
        <v>2.7648894037854834</v>
      </c>
      <c r="BD95" s="360">
        <f t="shared" si="127"/>
        <v>1.1310418884671645</v>
      </c>
      <c r="BE95" s="360">
        <f t="shared" si="128"/>
        <v>0.47617096908588458</v>
      </c>
      <c r="BK95" s="18"/>
      <c r="BL95" s="19"/>
    </row>
    <row r="96" spans="1:64" x14ac:dyDescent="0.2">
      <c r="G96">
        <v>87</v>
      </c>
      <c r="H96" s="548">
        <f t="shared" si="82"/>
        <v>21</v>
      </c>
      <c r="I96" s="4">
        <f t="shared" si="83"/>
        <v>1</v>
      </c>
      <c r="J96" s="360">
        <f t="shared" si="115"/>
        <v>6.96</v>
      </c>
      <c r="K96" s="4">
        <f t="shared" si="84"/>
        <v>1.8412698412698409</v>
      </c>
      <c r="L96" s="4"/>
      <c r="M96" s="360">
        <f t="shared" si="85"/>
        <v>0.24337094753968119</v>
      </c>
      <c r="N96" s="4">
        <f t="shared" si="86"/>
        <v>1.842155825577027</v>
      </c>
      <c r="O96" s="4">
        <f t="shared" si="116"/>
        <v>7.8810779127885136</v>
      </c>
      <c r="P96" s="4">
        <f t="shared" si="117"/>
        <v>6.0389220872114864</v>
      </c>
      <c r="Q96" s="4">
        <f t="shared" si="87"/>
        <v>0</v>
      </c>
      <c r="R96" s="4">
        <f t="shared" si="88"/>
        <v>6.9802861574920847</v>
      </c>
      <c r="S96" s="360">
        <f t="shared" si="89"/>
        <v>0.43851955356428046</v>
      </c>
      <c r="T96" s="360">
        <f t="shared" si="90"/>
        <v>0.3</v>
      </c>
      <c r="U96" s="360">
        <f t="shared" si="91"/>
        <v>0.7653699278915217</v>
      </c>
      <c r="V96" s="4">
        <f t="shared" si="118"/>
        <v>0.5317845808930669</v>
      </c>
      <c r="W96" s="360">
        <f t="shared" si="92"/>
        <v>5.6558968095122967E-4</v>
      </c>
      <c r="X96" s="360">
        <f t="shared" si="119"/>
        <v>5.6558968095122967E-4</v>
      </c>
      <c r="Y96" s="4">
        <f t="shared" si="93"/>
        <v>2.9953605102955625</v>
      </c>
      <c r="Z96" s="360">
        <f t="shared" si="120"/>
        <v>8.9721845866380934E-3</v>
      </c>
      <c r="AA96" s="541">
        <f t="shared" si="121"/>
        <v>8.9721845866380934E-3</v>
      </c>
      <c r="AB96" s="360">
        <f t="shared" si="94"/>
        <v>3.4435595160566201</v>
      </c>
      <c r="AC96" s="360">
        <f t="shared" si="95"/>
        <v>7.1148612843744616E-2</v>
      </c>
      <c r="AD96" s="360">
        <f t="shared" si="96"/>
        <v>0.55206095281933254</v>
      </c>
      <c r="AE96" s="360">
        <f t="shared" si="97"/>
        <v>0.63444464999999983</v>
      </c>
      <c r="AF96" s="360">
        <f t="shared" si="98"/>
        <v>0</v>
      </c>
      <c r="AG96" s="360">
        <f t="shared" si="99"/>
        <v>1.2714039267777346</v>
      </c>
      <c r="AH96" s="360">
        <f t="shared" si="100"/>
        <v>6.0717619106690535</v>
      </c>
      <c r="AI96" s="360">
        <f t="shared" si="101"/>
        <v>9.216573174962879E-2</v>
      </c>
      <c r="AJ96" s="360">
        <f t="shared" si="102"/>
        <v>0.28647359999999994</v>
      </c>
      <c r="AK96" s="360">
        <f t="shared" si="103"/>
        <v>0.3857499164133476</v>
      </c>
      <c r="AL96" s="360">
        <f t="shared" si="104"/>
        <v>0.28647359999999994</v>
      </c>
      <c r="AM96" s="360">
        <f t="shared" si="105"/>
        <v>2.3020199999999997</v>
      </c>
      <c r="AN96" s="360">
        <f t="shared" si="106"/>
        <v>0.4872439484047561</v>
      </c>
      <c r="AO96" s="360">
        <f t="shared" si="107"/>
        <v>7.3499999999999998E-4</v>
      </c>
      <c r="AP96" s="360">
        <f t="shared" si="108"/>
        <v>0.34650000000000003</v>
      </c>
      <c r="AQ96" s="360">
        <f t="shared" si="109"/>
        <v>1.3167</v>
      </c>
      <c r="AR96" s="360">
        <f t="shared" si="110"/>
        <v>1.1088</v>
      </c>
      <c r="AS96" s="360">
        <f t="shared" si="129"/>
        <v>0.34723500000000002</v>
      </c>
      <c r="AT96" s="360">
        <f t="shared" si="122"/>
        <v>5.8550340937549485</v>
      </c>
      <c r="AU96">
        <f t="shared" si="111"/>
        <v>34.799999999999997</v>
      </c>
      <c r="AV96" s="542">
        <f t="shared" si="123"/>
        <v>0.85598255605314211</v>
      </c>
      <c r="AW96" s="551">
        <f t="shared" si="112"/>
        <v>139.53685633888674</v>
      </c>
      <c r="AX96" s="551">
        <f t="shared" si="113"/>
        <v>43.525827623707208</v>
      </c>
      <c r="AY96" s="9"/>
      <c r="AZ96" s="4">
        <f t="shared" si="124"/>
        <v>85.598255605314208</v>
      </c>
      <c r="BA96" s="360">
        <f t="shared" si="114"/>
        <v>0.7653699278915217</v>
      </c>
      <c r="BB96" s="360">
        <f t="shared" si="125"/>
        <v>3.9591738431910821</v>
      </c>
      <c r="BC96" s="360">
        <f t="shared" si="126"/>
        <v>2.7907371267777346</v>
      </c>
      <c r="BD96" s="360">
        <f t="shared" si="127"/>
        <v>1.1454165164133476</v>
      </c>
      <c r="BE96" s="360">
        <f t="shared" si="128"/>
        <v>0.4872439484047561</v>
      </c>
      <c r="BK96" s="18"/>
      <c r="BL96" s="19"/>
    </row>
    <row r="97" spans="7:64" x14ac:dyDescent="0.2">
      <c r="G97">
        <v>88</v>
      </c>
      <c r="H97" s="548">
        <f t="shared" si="82"/>
        <v>21</v>
      </c>
      <c r="I97" s="4">
        <f t="shared" si="83"/>
        <v>1</v>
      </c>
      <c r="J97" s="360">
        <f t="shared" si="115"/>
        <v>7.04</v>
      </c>
      <c r="K97" s="4">
        <f t="shared" si="84"/>
        <v>1.8624338624338623</v>
      </c>
      <c r="L97" s="4"/>
      <c r="M97" s="360">
        <f t="shared" si="85"/>
        <v>0.24343145602724728</v>
      </c>
      <c r="N97" s="4">
        <f t="shared" si="86"/>
        <v>1.842474730799752</v>
      </c>
      <c r="O97" s="4">
        <f t="shared" si="116"/>
        <v>7.9612373653998763</v>
      </c>
      <c r="P97" s="4">
        <f t="shared" si="117"/>
        <v>6.1187626346001238</v>
      </c>
      <c r="Q97" s="4">
        <f t="shared" si="87"/>
        <v>0</v>
      </c>
      <c r="R97" s="4">
        <f t="shared" si="88"/>
        <v>7.0600632264262551</v>
      </c>
      <c r="S97" s="360">
        <f t="shared" si="89"/>
        <v>0.44860043485022666</v>
      </c>
      <c r="T97" s="360">
        <f t="shared" si="90"/>
        <v>0.3</v>
      </c>
      <c r="U97" s="360">
        <f t="shared" si="91"/>
        <v>0.77646628385701022</v>
      </c>
      <c r="V97" s="4">
        <f t="shared" si="118"/>
        <v>0.53187664090116005</v>
      </c>
      <c r="W97" s="360">
        <f t="shared" si="92"/>
        <v>5.6578552227260317E-4</v>
      </c>
      <c r="X97" s="360">
        <f t="shared" si="119"/>
        <v>5.6578552227260317E-4</v>
      </c>
      <c r="Y97" s="4">
        <f t="shared" si="93"/>
        <v>3.0298496567397479</v>
      </c>
      <c r="Z97" s="360">
        <f t="shared" si="120"/>
        <v>9.1799889424459685E-3</v>
      </c>
      <c r="AA97" s="541">
        <f t="shared" si="121"/>
        <v>9.1799889424459685E-3</v>
      </c>
      <c r="AB97" s="360">
        <f t="shared" si="94"/>
        <v>3.4833485969370046</v>
      </c>
      <c r="AC97" s="360">
        <f t="shared" si="95"/>
        <v>7.2802304686698002E-2</v>
      </c>
      <c r="AD97" s="360">
        <f t="shared" si="96"/>
        <v>0.55840648101265822</v>
      </c>
      <c r="AE97" s="360">
        <f t="shared" si="97"/>
        <v>0.63444464999999983</v>
      </c>
      <c r="AF97" s="360">
        <f t="shared" si="98"/>
        <v>0</v>
      </c>
      <c r="AG97" s="360">
        <f t="shared" si="99"/>
        <v>1.2798158139050249</v>
      </c>
      <c r="AH97" s="360">
        <f t="shared" si="100"/>
        <v>6.1409099743729598</v>
      </c>
      <c r="AI97" s="360">
        <f t="shared" si="101"/>
        <v>9.427693828338328E-2</v>
      </c>
      <c r="AJ97" s="360">
        <f t="shared" si="102"/>
        <v>0.28976639999999998</v>
      </c>
      <c r="AK97" s="360">
        <f t="shared" si="103"/>
        <v>0.39142378549697254</v>
      </c>
      <c r="AL97" s="360">
        <f t="shared" si="104"/>
        <v>0.28976639999999998</v>
      </c>
      <c r="AM97" s="360">
        <f t="shared" si="105"/>
        <v>2.3284799999999999</v>
      </c>
      <c r="AN97" s="360">
        <f t="shared" si="106"/>
        <v>0.498444927611363</v>
      </c>
      <c r="AO97" s="360">
        <f t="shared" si="107"/>
        <v>7.3499999999999998E-4</v>
      </c>
      <c r="AP97" s="360">
        <f t="shared" si="108"/>
        <v>0.34650000000000003</v>
      </c>
      <c r="AQ97" s="360">
        <f t="shared" si="109"/>
        <v>1.3167</v>
      </c>
      <c r="AR97" s="360">
        <f t="shared" si="110"/>
        <v>1.1088</v>
      </c>
      <c r="AS97" s="360">
        <f t="shared" si="129"/>
        <v>0.34723500000000002</v>
      </c>
      <c r="AT97" s="360">
        <f t="shared" si="122"/>
        <v>5.9213779853350887</v>
      </c>
      <c r="AU97">
        <f t="shared" si="111"/>
        <v>35.200000000000003</v>
      </c>
      <c r="AV97" s="542">
        <f t="shared" si="123"/>
        <v>0.85600244263587655</v>
      </c>
      <c r="AW97" s="551">
        <f t="shared" si="112"/>
        <v>140.83063069525124</v>
      </c>
      <c r="AX97" s="551">
        <f t="shared" si="113"/>
        <v>44.073243048884962</v>
      </c>
      <c r="AY97" s="9"/>
      <c r="AZ97" s="4">
        <f t="shared" si="124"/>
        <v>85.600244263587655</v>
      </c>
      <c r="BA97" s="360">
        <f t="shared" si="114"/>
        <v>0.77646628385701022</v>
      </c>
      <c r="BB97" s="360">
        <f t="shared" si="125"/>
        <v>3.9997195994019972</v>
      </c>
      <c r="BC97" s="360">
        <f t="shared" si="126"/>
        <v>2.8166126139050247</v>
      </c>
      <c r="BD97" s="360">
        <f t="shared" si="127"/>
        <v>1.1598221854969726</v>
      </c>
      <c r="BE97" s="360">
        <f t="shared" si="128"/>
        <v>0.498444927611363</v>
      </c>
      <c r="BK97" s="18"/>
      <c r="BL97" s="19"/>
    </row>
    <row r="98" spans="7:64" x14ac:dyDescent="0.2">
      <c r="G98">
        <v>89</v>
      </c>
      <c r="H98" s="548">
        <f t="shared" si="82"/>
        <v>21</v>
      </c>
      <c r="I98" s="4">
        <f t="shared" si="83"/>
        <v>1</v>
      </c>
      <c r="J98" s="360">
        <f t="shared" si="115"/>
        <v>7.12</v>
      </c>
      <c r="K98" s="4">
        <f t="shared" si="84"/>
        <v>1.8835978835978835</v>
      </c>
      <c r="L98" s="4"/>
      <c r="M98" s="360">
        <f t="shared" si="85"/>
        <v>0.24349196152479205</v>
      </c>
      <c r="N98" s="4">
        <f t="shared" si="86"/>
        <v>1.8427935442408689</v>
      </c>
      <c r="O98" s="4">
        <f t="shared" si="116"/>
        <v>8.041396772120434</v>
      </c>
      <c r="P98" s="4">
        <f t="shared" si="117"/>
        <v>6.1986032278795653</v>
      </c>
      <c r="Q98" s="4">
        <f t="shared" si="87"/>
        <v>0</v>
      </c>
      <c r="R98" s="4">
        <f t="shared" si="88"/>
        <v>7.1398452833768031</v>
      </c>
      <c r="S98" s="360">
        <f t="shared" si="89"/>
        <v>0.45879651603502181</v>
      </c>
      <c r="T98" s="360">
        <f t="shared" si="90"/>
        <v>0.3</v>
      </c>
      <c r="U98" s="360">
        <f t="shared" si="91"/>
        <v>0.78770834352801145</v>
      </c>
      <c r="V98" s="4">
        <f t="shared" si="118"/>
        <v>0.53196867441418516</v>
      </c>
      <c r="W98" s="360">
        <f t="shared" si="92"/>
        <v>5.6598134111597066E-4</v>
      </c>
      <c r="X98" s="360">
        <f t="shared" si="119"/>
        <v>5.6598134111597066E-4</v>
      </c>
      <c r="Y98" s="4">
        <f t="shared" si="93"/>
        <v>3.0643466213221617</v>
      </c>
      <c r="Z98" s="360">
        <f t="shared" si="120"/>
        <v>9.3902202156085478E-3</v>
      </c>
      <c r="AA98" s="541">
        <f t="shared" si="121"/>
        <v>9.3902202156085478E-3</v>
      </c>
      <c r="AB98" s="360">
        <f t="shared" si="94"/>
        <v>3.5231498474787868</v>
      </c>
      <c r="AC98" s="360">
        <f t="shared" si="95"/>
        <v>7.4475509086738792E-2</v>
      </c>
      <c r="AD98" s="360">
        <f t="shared" si="96"/>
        <v>0.5647520092059839</v>
      </c>
      <c r="AE98" s="360">
        <f t="shared" si="97"/>
        <v>0.63444464999999983</v>
      </c>
      <c r="AF98" s="360">
        <f t="shared" si="98"/>
        <v>0</v>
      </c>
      <c r="AG98" s="360">
        <f t="shared" si="99"/>
        <v>1.2882555787823975</v>
      </c>
      <c r="AH98" s="360">
        <f t="shared" si="100"/>
        <v>6.2100568292704201</v>
      </c>
      <c r="AI98" s="360">
        <f t="shared" si="101"/>
        <v>9.6412014556920472E-2</v>
      </c>
      <c r="AJ98" s="360">
        <f t="shared" si="102"/>
        <v>0.29305919999999996</v>
      </c>
      <c r="AK98" s="360">
        <f t="shared" si="103"/>
        <v>0.39712881232386871</v>
      </c>
      <c r="AL98" s="360">
        <f t="shared" si="104"/>
        <v>0.29305919999999996</v>
      </c>
      <c r="AM98" s="360">
        <f t="shared" si="105"/>
        <v>2.3549399999999996</v>
      </c>
      <c r="AN98" s="360">
        <f t="shared" si="106"/>
        <v>0.50977390670557976</v>
      </c>
      <c r="AO98" s="360">
        <f t="shared" si="107"/>
        <v>7.3499999999999998E-4</v>
      </c>
      <c r="AP98" s="360">
        <f t="shared" si="108"/>
        <v>0.34650000000000003</v>
      </c>
      <c r="AQ98" s="360">
        <f t="shared" si="109"/>
        <v>1.3167</v>
      </c>
      <c r="AR98" s="360">
        <f t="shared" si="110"/>
        <v>1.1088</v>
      </c>
      <c r="AS98" s="360">
        <f t="shared" si="129"/>
        <v>0.34723500000000002</v>
      </c>
      <c r="AT98" s="360">
        <f t="shared" si="122"/>
        <v>5.9880570428965818</v>
      </c>
      <c r="AU98">
        <f t="shared" si="111"/>
        <v>35.6</v>
      </c>
      <c r="AV98" s="542">
        <f t="shared" si="123"/>
        <v>0.85601498438072943</v>
      </c>
      <c r="AW98" s="551">
        <f t="shared" si="112"/>
        <v>142.12579893911985</v>
      </c>
      <c r="AX98" s="551">
        <f t="shared" si="113"/>
        <v>44.621842468307001</v>
      </c>
      <c r="AY98" s="9"/>
      <c r="AZ98" s="4">
        <f t="shared" si="124"/>
        <v>85.601498438072937</v>
      </c>
      <c r="BA98" s="360">
        <f t="shared" si="114"/>
        <v>0.78770834352801145</v>
      </c>
      <c r="BB98" s="360">
        <f t="shared" si="125"/>
        <v>4.0403243911062656</v>
      </c>
      <c r="BC98" s="360">
        <f t="shared" si="126"/>
        <v>2.842515978782397</v>
      </c>
      <c r="BD98" s="360">
        <f t="shared" si="127"/>
        <v>1.1742590123238685</v>
      </c>
      <c r="BE98" s="360">
        <f t="shared" si="128"/>
        <v>0.50977390670557976</v>
      </c>
      <c r="BK98" s="18"/>
      <c r="BL98" s="19"/>
    </row>
    <row r="99" spans="7:64" x14ac:dyDescent="0.2">
      <c r="G99">
        <v>90</v>
      </c>
      <c r="H99" s="548">
        <f t="shared" si="82"/>
        <v>21</v>
      </c>
      <c r="I99" s="4">
        <f t="shared" si="83"/>
        <v>1</v>
      </c>
      <c r="J99" s="360">
        <f t="shared" si="115"/>
        <v>7.2</v>
      </c>
      <c r="K99" s="4">
        <f t="shared" si="84"/>
        <v>1.9047619047619047</v>
      </c>
      <c r="L99" s="4"/>
      <c r="M99" s="360">
        <f t="shared" si="85"/>
        <v>0.24355246403253702</v>
      </c>
      <c r="N99" s="4">
        <f t="shared" si="86"/>
        <v>1.8431122659071799</v>
      </c>
      <c r="O99" s="4">
        <f t="shared" si="116"/>
        <v>8.1215561329535895</v>
      </c>
      <c r="P99" s="4">
        <f t="shared" si="117"/>
        <v>6.27844386704641</v>
      </c>
      <c r="Q99" s="4">
        <f t="shared" si="87"/>
        <v>0</v>
      </c>
      <c r="R99" s="4">
        <f t="shared" si="88"/>
        <v>7.2196321629795053</v>
      </c>
      <c r="S99" s="360">
        <f t="shared" si="89"/>
        <v>0.4691077971185531</v>
      </c>
      <c r="T99" s="360">
        <f t="shared" si="90"/>
        <v>0.3</v>
      </c>
      <c r="U99" s="360">
        <f t="shared" si="91"/>
        <v>0.79909680029211461</v>
      </c>
      <c r="V99" s="4">
        <f t="shared" si="118"/>
        <v>0.53206068143410579</v>
      </c>
      <c r="W99" s="360">
        <f t="shared" si="92"/>
        <v>5.6617713745625001E-4</v>
      </c>
      <c r="X99" s="360">
        <f t="shared" si="119"/>
        <v>5.6617713745625001E-4</v>
      </c>
      <c r="Y99" s="4">
        <f t="shared" si="93"/>
        <v>3.0988513304404157</v>
      </c>
      <c r="Z99" s="360">
        <f t="shared" si="120"/>
        <v>9.6028795681723338E-3</v>
      </c>
      <c r="AA99" s="541">
        <f t="shared" si="121"/>
        <v>9.6028795681723338E-3</v>
      </c>
      <c r="AB99" s="360">
        <f t="shared" si="94"/>
        <v>3.562963184471585</v>
      </c>
      <c r="AC99" s="360">
        <f t="shared" si="95"/>
        <v>7.6168239923399383E-2</v>
      </c>
      <c r="AD99" s="360">
        <f t="shared" si="96"/>
        <v>0.57109753739930968</v>
      </c>
      <c r="AE99" s="360">
        <f t="shared" si="97"/>
        <v>0.63444464999999983</v>
      </c>
      <c r="AF99" s="360">
        <f t="shared" si="98"/>
        <v>0</v>
      </c>
      <c r="AG99" s="360">
        <f t="shared" si="99"/>
        <v>1.2967233357133392</v>
      </c>
      <c r="AH99" s="360">
        <f t="shared" si="100"/>
        <v>6.2792023310949476</v>
      </c>
      <c r="AI99" s="360">
        <f t="shared" si="101"/>
        <v>9.8570954787070564E-2</v>
      </c>
      <c r="AJ99" s="360">
        <f t="shared" si="102"/>
        <v>0.29635199999999995</v>
      </c>
      <c r="AK99" s="360">
        <f t="shared" si="103"/>
        <v>0.40286511458610141</v>
      </c>
      <c r="AL99" s="360">
        <f t="shared" si="104"/>
        <v>0.29635199999999995</v>
      </c>
      <c r="AM99" s="360">
        <f t="shared" si="105"/>
        <v>2.3813999999999997</v>
      </c>
      <c r="AN99" s="360">
        <f t="shared" si="106"/>
        <v>0.52123088568728126</v>
      </c>
      <c r="AO99" s="360">
        <f t="shared" si="107"/>
        <v>7.3499999999999998E-4</v>
      </c>
      <c r="AP99" s="360">
        <f t="shared" si="108"/>
        <v>0.34650000000000003</v>
      </c>
      <c r="AQ99" s="360">
        <f t="shared" si="109"/>
        <v>1.3167</v>
      </c>
      <c r="AR99" s="360">
        <f t="shared" si="110"/>
        <v>1.1088</v>
      </c>
      <c r="AS99" s="360">
        <f t="shared" si="129"/>
        <v>0.34723500000000002</v>
      </c>
      <c r="AT99" s="360">
        <f t="shared" si="122"/>
        <v>6.055072192984464</v>
      </c>
      <c r="AU99">
        <f t="shared" si="111"/>
        <v>36</v>
      </c>
      <c r="AV99" s="542">
        <f t="shared" si="123"/>
        <v>0.85602040664206602</v>
      </c>
      <c r="AW99" s="551">
        <f t="shared" si="112"/>
        <v>143.42236678566695</v>
      </c>
      <c r="AX99" s="551">
        <f t="shared" si="113"/>
        <v>45.171630354271855</v>
      </c>
      <c r="AY99" s="9"/>
      <c r="AZ99" s="4">
        <f t="shared" si="124"/>
        <v>85.602040664206598</v>
      </c>
      <c r="BA99" s="360">
        <f t="shared" si="114"/>
        <v>0.79909680029211461</v>
      </c>
      <c r="BB99" s="360">
        <f t="shared" si="125"/>
        <v>4.08098845029944</v>
      </c>
      <c r="BC99" s="360">
        <f t="shared" si="126"/>
        <v>2.8684473357133391</v>
      </c>
      <c r="BD99" s="360">
        <f t="shared" si="127"/>
        <v>1.1887271145861014</v>
      </c>
      <c r="BE99" s="360">
        <f t="shared" si="128"/>
        <v>0.52123088568728126</v>
      </c>
      <c r="BK99" s="18"/>
      <c r="BL99" s="19"/>
    </row>
    <row r="100" spans="7:64" x14ac:dyDescent="0.2">
      <c r="G100">
        <v>91</v>
      </c>
      <c r="H100" s="548">
        <f t="shared" si="82"/>
        <v>21</v>
      </c>
      <c r="I100" s="4">
        <f t="shared" si="83"/>
        <v>1</v>
      </c>
      <c r="J100" s="360">
        <f t="shared" si="115"/>
        <v>7.28</v>
      </c>
      <c r="K100" s="4">
        <f t="shared" si="84"/>
        <v>1.9259259259259256</v>
      </c>
      <c r="L100" s="4"/>
      <c r="M100" s="360">
        <f t="shared" si="85"/>
        <v>0.24361296355070383</v>
      </c>
      <c r="N100" s="4">
        <f t="shared" si="86"/>
        <v>1.8434308958054877</v>
      </c>
      <c r="O100" s="4">
        <f t="shared" si="116"/>
        <v>8.2017154479027443</v>
      </c>
      <c r="P100" s="4">
        <f t="shared" si="117"/>
        <v>6.3582845520972562</v>
      </c>
      <c r="Q100" s="4">
        <f t="shared" si="87"/>
        <v>0</v>
      </c>
      <c r="R100" s="4">
        <f t="shared" si="88"/>
        <v>7.2994237070904573</v>
      </c>
      <c r="S100" s="360">
        <f t="shared" si="89"/>
        <v>0.4795342781007077</v>
      </c>
      <c r="T100" s="360">
        <f t="shared" si="90"/>
        <v>0.3</v>
      </c>
      <c r="U100" s="360">
        <f t="shared" si="91"/>
        <v>0.81063235832090696</v>
      </c>
      <c r="V100" s="4">
        <f t="shared" si="118"/>
        <v>0.53215266196288569</v>
      </c>
      <c r="W100" s="360">
        <f t="shared" si="92"/>
        <v>5.6637291126837054E-4</v>
      </c>
      <c r="X100" s="360">
        <f t="shared" si="119"/>
        <v>5.6637291126837054E-4</v>
      </c>
      <c r="Y100" s="4">
        <f t="shared" si="93"/>
        <v>3.1333637135687269</v>
      </c>
      <c r="Z100" s="360">
        <f t="shared" si="120"/>
        <v>9.8179681615092034E-3</v>
      </c>
      <c r="AA100" s="541">
        <f t="shared" si="121"/>
        <v>9.8179681615092034E-3</v>
      </c>
      <c r="AB100" s="360">
        <f t="shared" si="94"/>
        <v>3.6027885282292225</v>
      </c>
      <c r="AC100" s="360">
        <f t="shared" si="95"/>
        <v>7.7880511074840522E-2</v>
      </c>
      <c r="AD100" s="360">
        <f t="shared" si="96"/>
        <v>0.57744306559263525</v>
      </c>
      <c r="AE100" s="360">
        <f t="shared" si="97"/>
        <v>0.63444464999999983</v>
      </c>
      <c r="AF100" s="360">
        <f t="shared" si="98"/>
        <v>0</v>
      </c>
      <c r="AG100" s="360">
        <f t="shared" si="99"/>
        <v>1.3052191996946869</v>
      </c>
      <c r="AH100" s="360">
        <f t="shared" si="100"/>
        <v>6.3483463418825936</v>
      </c>
      <c r="AI100" s="360">
        <f t="shared" si="101"/>
        <v>0.10075375319123527</v>
      </c>
      <c r="AJ100" s="360">
        <f t="shared" si="102"/>
        <v>0.29964479999999999</v>
      </c>
      <c r="AK100" s="360">
        <f t="shared" si="103"/>
        <v>0.40863281106970678</v>
      </c>
      <c r="AL100" s="360">
        <f t="shared" si="104"/>
        <v>0.29964479999999999</v>
      </c>
      <c r="AM100" s="360">
        <f t="shared" si="105"/>
        <v>2.4078599999999999</v>
      </c>
      <c r="AN100" s="360">
        <f t="shared" si="106"/>
        <v>0.53281586455634189</v>
      </c>
      <c r="AO100" s="360">
        <f t="shared" si="107"/>
        <v>7.3499999999999998E-4</v>
      </c>
      <c r="AP100" s="360">
        <f t="shared" si="108"/>
        <v>0.34650000000000003</v>
      </c>
      <c r="AQ100" s="360">
        <f t="shared" si="109"/>
        <v>1.3167</v>
      </c>
      <c r="AR100" s="360">
        <f t="shared" si="110"/>
        <v>1.1088</v>
      </c>
      <c r="AS100" s="360">
        <f t="shared" si="129"/>
        <v>0.34723500000000002</v>
      </c>
      <c r="AT100" s="360">
        <f t="shared" si="122"/>
        <v>6.12242437471442</v>
      </c>
      <c r="AU100">
        <f t="shared" si="111"/>
        <v>36.4</v>
      </c>
      <c r="AV100" s="542">
        <f t="shared" si="123"/>
        <v>0.85601892496150656</v>
      </c>
      <c r="AW100" s="551">
        <f t="shared" si="112"/>
        <v>144.72033998473435</v>
      </c>
      <c r="AX100" s="551">
        <f t="shared" si="113"/>
        <v>45.722611220648858</v>
      </c>
      <c r="AY100" s="9"/>
      <c r="AZ100" s="4">
        <f t="shared" si="124"/>
        <v>85.601892496150654</v>
      </c>
      <c r="BA100" s="360">
        <f t="shared" si="114"/>
        <v>0.81063235832090696</v>
      </c>
      <c r="BB100" s="360">
        <f t="shared" si="125"/>
        <v>4.1217120107643934</v>
      </c>
      <c r="BC100" s="360">
        <f t="shared" si="126"/>
        <v>2.8944067996946869</v>
      </c>
      <c r="BD100" s="360">
        <f t="shared" si="127"/>
        <v>1.2032266110697067</v>
      </c>
      <c r="BE100" s="360">
        <f t="shared" si="128"/>
        <v>0.53281586455634189</v>
      </c>
      <c r="BK100" s="18"/>
      <c r="BL100" s="19"/>
    </row>
    <row r="101" spans="7:64" x14ac:dyDescent="0.2">
      <c r="G101">
        <v>92</v>
      </c>
      <c r="H101" s="548">
        <f t="shared" si="82"/>
        <v>21</v>
      </c>
      <c r="I101" s="4">
        <f t="shared" si="83"/>
        <v>1</v>
      </c>
      <c r="J101" s="360">
        <f t="shared" si="115"/>
        <v>7.36</v>
      </c>
      <c r="K101" s="4">
        <f t="shared" si="84"/>
        <v>1.9470899470899472</v>
      </c>
      <c r="L101" s="4"/>
      <c r="M101" s="360">
        <f t="shared" si="85"/>
        <v>0.2436734600795141</v>
      </c>
      <c r="N101" s="4">
        <f t="shared" si="86"/>
        <v>1.8437494339425939</v>
      </c>
      <c r="O101" s="4">
        <f t="shared" si="116"/>
        <v>8.2818747169712967</v>
      </c>
      <c r="P101" s="4">
        <f t="shared" si="117"/>
        <v>6.438125283028703</v>
      </c>
      <c r="Q101" s="4">
        <f t="shared" si="87"/>
        <v>0</v>
      </c>
      <c r="R101" s="4">
        <f t="shared" si="88"/>
        <v>7.3792197643967512</v>
      </c>
      <c r="S101" s="360">
        <f t="shared" si="89"/>
        <v>0.49007595898137279</v>
      </c>
      <c r="T101" s="360">
        <f t="shared" si="90"/>
        <v>0.3</v>
      </c>
      <c r="U101" s="360">
        <f t="shared" si="91"/>
        <v>0.82231573268381197</v>
      </c>
      <c r="V101" s="4">
        <f t="shared" si="118"/>
        <v>0.5322446160024884</v>
      </c>
      <c r="W101" s="360">
        <f t="shared" si="92"/>
        <v>5.6656866252727267E-4</v>
      </c>
      <c r="X101" s="360">
        <f t="shared" si="119"/>
        <v>5.6656866252727267E-4</v>
      </c>
      <c r="Y101" s="4">
        <f t="shared" si="93"/>
        <v>3.1678837030921043</v>
      </c>
      <c r="Z101" s="360">
        <f t="shared" si="120"/>
        <v>1.0035487156316544E-2</v>
      </c>
      <c r="AA101" s="541">
        <f t="shared" si="121"/>
        <v>1.0035487156316544E-2</v>
      </c>
      <c r="AB101" s="360">
        <f t="shared" si="94"/>
        <v>3.6426258023997704</v>
      </c>
      <c r="AC101" s="360">
        <f t="shared" si="95"/>
        <v>7.9612336417851426E-2</v>
      </c>
      <c r="AD101" s="360">
        <f t="shared" si="96"/>
        <v>0.58378859378596093</v>
      </c>
      <c r="AE101" s="360">
        <f t="shared" si="97"/>
        <v>0.63444464999999983</v>
      </c>
      <c r="AF101" s="360">
        <f t="shared" si="98"/>
        <v>0</v>
      </c>
      <c r="AG101" s="360">
        <f t="shared" si="99"/>
        <v>1.3137432864215761</v>
      </c>
      <c r="AH101" s="360">
        <f t="shared" si="100"/>
        <v>6.4174887296321037</v>
      </c>
      <c r="AI101" s="360">
        <f t="shared" si="101"/>
        <v>0.10296040398738768</v>
      </c>
      <c r="AJ101" s="360">
        <f t="shared" si="102"/>
        <v>0.30293759999999997</v>
      </c>
      <c r="AK101" s="360">
        <f t="shared" si="103"/>
        <v>0.4144320216625243</v>
      </c>
      <c r="AL101" s="360">
        <f t="shared" si="104"/>
        <v>0.30293759999999997</v>
      </c>
      <c r="AM101" s="360">
        <f t="shared" si="105"/>
        <v>2.43432</v>
      </c>
      <c r="AN101" s="360">
        <f t="shared" si="106"/>
        <v>0.54452884331263651</v>
      </c>
      <c r="AO101" s="360">
        <f t="shared" si="107"/>
        <v>7.3499999999999998E-4</v>
      </c>
      <c r="AP101" s="360">
        <f t="shared" si="108"/>
        <v>0.34650000000000003</v>
      </c>
      <c r="AQ101" s="360">
        <f t="shared" si="109"/>
        <v>1.3167</v>
      </c>
      <c r="AR101" s="360">
        <f t="shared" si="110"/>
        <v>1.1088</v>
      </c>
      <c r="AS101" s="360">
        <f t="shared" si="129"/>
        <v>0.34723500000000002</v>
      </c>
      <c r="AT101" s="360">
        <f t="shared" si="122"/>
        <v>6.1901145398993931</v>
      </c>
      <c r="AU101">
        <f t="shared" si="111"/>
        <v>36.800000000000004</v>
      </c>
      <c r="AV101" s="542">
        <f t="shared" si="123"/>
        <v>0.85601074558305013</v>
      </c>
      <c r="AW101" s="551">
        <f t="shared" si="112"/>
        <v>146.01972432107883</v>
      </c>
      <c r="AX101" s="551">
        <f t="shared" si="113"/>
        <v>46.274789623175927</v>
      </c>
      <c r="AY101" s="9"/>
      <c r="AZ101" s="4">
        <f t="shared" si="124"/>
        <v>85.601074558305015</v>
      </c>
      <c r="BA101" s="360">
        <f t="shared" si="114"/>
        <v>0.82231573268381197</v>
      </c>
      <c r="BB101" s="360">
        <f t="shared" si="125"/>
        <v>4.1624953080841003</v>
      </c>
      <c r="BC101" s="360">
        <f t="shared" si="126"/>
        <v>2.9203944864215763</v>
      </c>
      <c r="BD101" s="360">
        <f t="shared" si="127"/>
        <v>1.2177576216625243</v>
      </c>
      <c r="BE101" s="360">
        <f t="shared" si="128"/>
        <v>0.54452884331263651</v>
      </c>
      <c r="BK101" s="18"/>
      <c r="BL101" s="19"/>
    </row>
    <row r="102" spans="7:64" x14ac:dyDescent="0.2">
      <c r="G102">
        <v>93</v>
      </c>
      <c r="H102" s="548">
        <f t="shared" si="82"/>
        <v>21</v>
      </c>
      <c r="I102" s="4">
        <f t="shared" si="83"/>
        <v>1</v>
      </c>
      <c r="J102" s="360">
        <f t="shared" si="115"/>
        <v>7.44</v>
      </c>
      <c r="K102" s="4">
        <f t="shared" si="84"/>
        <v>1.9682539682539681</v>
      </c>
      <c r="L102" s="4"/>
      <c r="M102" s="360">
        <f t="shared" si="85"/>
        <v>0.24373395361918937</v>
      </c>
      <c r="N102" s="4">
        <f t="shared" si="86"/>
        <v>1.8440678803252992</v>
      </c>
      <c r="O102" s="4">
        <f t="shared" si="116"/>
        <v>8.3620339401626502</v>
      </c>
      <c r="P102" s="4">
        <f t="shared" si="117"/>
        <v>6.5179660598373506</v>
      </c>
      <c r="Q102" s="4">
        <f t="shared" si="87"/>
        <v>0</v>
      </c>
      <c r="R102" s="4">
        <f t="shared" si="88"/>
        <v>7.4590201900520396</v>
      </c>
      <c r="S102" s="360">
        <f t="shared" si="89"/>
        <v>0.50073283976043559</v>
      </c>
      <c r="T102" s="360">
        <f t="shared" si="90"/>
        <v>0.3</v>
      </c>
      <c r="U102" s="360">
        <f t="shared" si="91"/>
        <v>0.83414764946408726</v>
      </c>
      <c r="V102" s="4">
        <f t="shared" si="118"/>
        <v>0.53233654355487703</v>
      </c>
      <c r="W102" s="360">
        <f t="shared" si="92"/>
        <v>5.6676439120790698E-4</v>
      </c>
      <c r="X102" s="360">
        <f t="shared" si="119"/>
        <v>5.6676439120790698E-4</v>
      </c>
      <c r="Y102" s="4">
        <f t="shared" si="93"/>
        <v>3.2024112341511399</v>
      </c>
      <c r="Z102" s="360">
        <f t="shared" si="120"/>
        <v>1.0255437712617428E-2</v>
      </c>
      <c r="AA102" s="541">
        <f t="shared" si="121"/>
        <v>1.0255437712617428E-2</v>
      </c>
      <c r="AB102" s="360">
        <f t="shared" si="94"/>
        <v>3.6824749337877374</v>
      </c>
      <c r="AC102" s="360">
        <f t="shared" si="95"/>
        <v>8.1363729827850007E-2</v>
      </c>
      <c r="AD102" s="360">
        <f t="shared" si="96"/>
        <v>0.5901341219792865</v>
      </c>
      <c r="AE102" s="360">
        <f t="shared" si="97"/>
        <v>0.63444464999999983</v>
      </c>
      <c r="AF102" s="360">
        <f t="shared" si="98"/>
        <v>0</v>
      </c>
      <c r="AG102" s="360">
        <f t="shared" si="99"/>
        <v>1.3222957122924344</v>
      </c>
      <c r="AH102" s="360">
        <f t="shared" si="100"/>
        <v>6.4866293679868097</v>
      </c>
      <c r="AI102" s="360">
        <f t="shared" si="101"/>
        <v>0.1051909013940724</v>
      </c>
      <c r="AJ102" s="360">
        <f t="shared" si="102"/>
        <v>0.30623039999999996</v>
      </c>
      <c r="AK102" s="360">
        <f t="shared" si="103"/>
        <v>0.42026286736212826</v>
      </c>
      <c r="AL102" s="360">
        <f t="shared" si="104"/>
        <v>0.30623039999999996</v>
      </c>
      <c r="AM102" s="360">
        <f t="shared" si="105"/>
        <v>2.4607799999999997</v>
      </c>
      <c r="AN102" s="360">
        <f t="shared" si="106"/>
        <v>0.55636982195603968</v>
      </c>
      <c r="AO102" s="360">
        <f t="shared" si="107"/>
        <v>7.3499999999999998E-4</v>
      </c>
      <c r="AP102" s="360">
        <f t="shared" si="108"/>
        <v>0.34650000000000003</v>
      </c>
      <c r="AQ102" s="360">
        <f t="shared" si="109"/>
        <v>1.3167</v>
      </c>
      <c r="AR102" s="360">
        <f t="shared" si="110"/>
        <v>1.1088</v>
      </c>
      <c r="AS102" s="360">
        <f t="shared" si="129"/>
        <v>0.34723500000000002</v>
      </c>
      <c r="AT102" s="360">
        <f t="shared" si="122"/>
        <v>6.2581436531785153</v>
      </c>
      <c r="AU102">
        <f t="shared" si="111"/>
        <v>37.200000000000003</v>
      </c>
      <c r="AV102" s="542">
        <f t="shared" si="123"/>
        <v>0.85599606593594579</v>
      </c>
      <c r="AW102" s="551">
        <f t="shared" si="112"/>
        <v>147.32052561462172</v>
      </c>
      <c r="AX102" s="551">
        <f t="shared" si="113"/>
        <v>46.828170159760866</v>
      </c>
      <c r="AY102" s="9"/>
      <c r="AZ102" s="4">
        <f t="shared" si="124"/>
        <v>85.599606593594586</v>
      </c>
      <c r="BA102" s="360">
        <f t="shared" si="114"/>
        <v>0.83414764946408726</v>
      </c>
      <c r="BB102" s="360">
        <f t="shared" si="125"/>
        <v>4.2033385796545621</v>
      </c>
      <c r="BC102" s="360">
        <f t="shared" si="126"/>
        <v>2.9464105122924344</v>
      </c>
      <c r="BD102" s="360">
        <f t="shared" si="127"/>
        <v>1.2323202673621281</v>
      </c>
      <c r="BE102" s="360">
        <f t="shared" si="128"/>
        <v>0.55636982195603968</v>
      </c>
      <c r="BK102" s="18"/>
      <c r="BL102" s="19"/>
    </row>
    <row r="103" spans="7:64" x14ac:dyDescent="0.2">
      <c r="G103">
        <v>94</v>
      </c>
      <c r="H103" s="548">
        <f t="shared" si="82"/>
        <v>21</v>
      </c>
      <c r="I103" s="4">
        <f t="shared" si="83"/>
        <v>1</v>
      </c>
      <c r="J103" s="360">
        <f t="shared" si="115"/>
        <v>7.52</v>
      </c>
      <c r="K103" s="4">
        <f t="shared" si="84"/>
        <v>1.9894179894179889</v>
      </c>
      <c r="L103" s="4"/>
      <c r="M103" s="360">
        <f t="shared" si="85"/>
        <v>0.24379444416995108</v>
      </c>
      <c r="N103" s="4">
        <f t="shared" si="86"/>
        <v>1.844386234960403</v>
      </c>
      <c r="O103" s="4">
        <f t="shared" si="116"/>
        <v>8.4421931174802012</v>
      </c>
      <c r="P103" s="4">
        <f t="shared" si="117"/>
        <v>6.597806882519798</v>
      </c>
      <c r="Q103" s="4">
        <f t="shared" si="87"/>
        <v>0</v>
      </c>
      <c r="R103" s="4">
        <f t="shared" si="88"/>
        <v>7.5388248453351538</v>
      </c>
      <c r="S103" s="360">
        <f t="shared" si="89"/>
        <v>0.51150492043778339</v>
      </c>
      <c r="T103" s="360">
        <f t="shared" si="90"/>
        <v>0.3</v>
      </c>
      <c r="U103" s="360">
        <f t="shared" si="91"/>
        <v>0.84612884587701831</v>
      </c>
      <c r="V103" s="4">
        <f t="shared" si="118"/>
        <v>0.53242844462201455</v>
      </c>
      <c r="W103" s="360">
        <f t="shared" si="92"/>
        <v>5.6696009728523524E-4</v>
      </c>
      <c r="X103" s="360">
        <f t="shared" si="119"/>
        <v>5.6696009728523524E-4</v>
      </c>
      <c r="Y103" s="4">
        <f t="shared" si="93"/>
        <v>3.2369462444966155</v>
      </c>
      <c r="Z103" s="360">
        <f t="shared" si="120"/>
        <v>1.0477820989760743E-2</v>
      </c>
      <c r="AA103" s="541">
        <f t="shared" si="121"/>
        <v>1.0477820989760743E-2</v>
      </c>
      <c r="AB103" s="360">
        <f t="shared" si="94"/>
        <v>3.722335852187507</v>
      </c>
      <c r="AC103" s="360">
        <f t="shared" si="95"/>
        <v>8.3134705178882967E-2</v>
      </c>
      <c r="AD103" s="360">
        <f t="shared" si="96"/>
        <v>0.59647965017261217</v>
      </c>
      <c r="AE103" s="360">
        <f t="shared" si="97"/>
        <v>0.63444464999999983</v>
      </c>
      <c r="AF103" s="360">
        <f t="shared" si="98"/>
        <v>0</v>
      </c>
      <c r="AG103" s="360">
        <f t="shared" si="99"/>
        <v>1.33087659441402</v>
      </c>
      <c r="AH103" s="360">
        <f t="shared" si="100"/>
        <v>6.5557681359366358</v>
      </c>
      <c r="AI103" s="360">
        <f t="shared" si="101"/>
        <v>0.10744523963040528</v>
      </c>
      <c r="AJ103" s="360">
        <f t="shared" si="102"/>
        <v>0.30952319999999994</v>
      </c>
      <c r="AK103" s="360">
        <f t="shared" si="103"/>
        <v>0.42612547028385889</v>
      </c>
      <c r="AL103" s="360">
        <f t="shared" si="104"/>
        <v>0.30952319999999994</v>
      </c>
      <c r="AM103" s="360">
        <f t="shared" si="105"/>
        <v>2.4872399999999995</v>
      </c>
      <c r="AN103" s="360">
        <f t="shared" si="106"/>
        <v>0.56833880048642604</v>
      </c>
      <c r="AO103" s="360">
        <f t="shared" si="107"/>
        <v>7.3499999999999998E-4</v>
      </c>
      <c r="AP103" s="360">
        <f t="shared" si="108"/>
        <v>0.34650000000000003</v>
      </c>
      <c r="AQ103" s="360">
        <f t="shared" si="109"/>
        <v>1.3167</v>
      </c>
      <c r="AR103" s="360">
        <f t="shared" si="110"/>
        <v>1.1088</v>
      </c>
      <c r="AS103" s="360">
        <f t="shared" si="129"/>
        <v>0.34723500000000002</v>
      </c>
      <c r="AT103" s="360">
        <f t="shared" si="122"/>
        <v>6.326512692148369</v>
      </c>
      <c r="AU103">
        <f t="shared" si="111"/>
        <v>37.599999999999994</v>
      </c>
      <c r="AV103" s="542">
        <f t="shared" si="123"/>
        <v>0.85597507508764292</v>
      </c>
      <c r="AW103" s="551">
        <f t="shared" si="112"/>
        <v>148.62274972070097</v>
      </c>
      <c r="AX103" s="551">
        <f t="shared" si="113"/>
        <v>47.382757470786629</v>
      </c>
      <c r="AY103" s="9"/>
      <c r="AZ103" s="4">
        <f t="shared" si="124"/>
        <v>85.597507508764295</v>
      </c>
      <c r="BA103" s="360">
        <f t="shared" si="114"/>
        <v>0.84612884587701831</v>
      </c>
      <c r="BB103" s="360">
        <f t="shared" si="125"/>
        <v>4.244242064697878</v>
      </c>
      <c r="BC103" s="360">
        <f t="shared" si="126"/>
        <v>2.9724549944140195</v>
      </c>
      <c r="BD103" s="360">
        <f t="shared" si="127"/>
        <v>1.2469146702838587</v>
      </c>
      <c r="BE103" s="360">
        <f t="shared" si="128"/>
        <v>0.56833880048642604</v>
      </c>
      <c r="BK103" s="18"/>
      <c r="BL103" s="19"/>
    </row>
    <row r="104" spans="7:64" x14ac:dyDescent="0.2">
      <c r="G104">
        <v>95</v>
      </c>
      <c r="H104" s="548">
        <f t="shared" si="82"/>
        <v>21</v>
      </c>
      <c r="I104" s="4">
        <f t="shared" si="83"/>
        <v>1</v>
      </c>
      <c r="J104" s="360">
        <f t="shared" si="115"/>
        <v>7.6</v>
      </c>
      <c r="K104" s="4">
        <f t="shared" si="84"/>
        <v>2.0105820105820102</v>
      </c>
      <c r="L104" s="4"/>
      <c r="M104" s="360">
        <f t="shared" si="85"/>
        <v>0.24385493173202089</v>
      </c>
      <c r="N104" s="4">
        <f t="shared" si="86"/>
        <v>1.8447044978547065</v>
      </c>
      <c r="O104" s="4">
        <f t="shared" si="116"/>
        <v>8.5223522489273531</v>
      </c>
      <c r="P104" s="4">
        <f t="shared" si="117"/>
        <v>6.6776477510726462</v>
      </c>
      <c r="Q104" s="4">
        <f t="shared" si="87"/>
        <v>0</v>
      </c>
      <c r="R104" s="4">
        <f t="shared" si="88"/>
        <v>7.6186335973301089</v>
      </c>
      <c r="S104" s="360">
        <f t="shared" si="89"/>
        <v>0.52239220101330397</v>
      </c>
      <c r="T104" s="360">
        <f t="shared" si="90"/>
        <v>0.3</v>
      </c>
      <c r="U104" s="360">
        <f t="shared" si="91"/>
        <v>0.8582600703903478</v>
      </c>
      <c r="V104" s="4">
        <f t="shared" si="118"/>
        <v>0.53252031920586418</v>
      </c>
      <c r="W104" s="360">
        <f t="shared" si="92"/>
        <v>5.6715578073423102E-4</v>
      </c>
      <c r="X104" s="360">
        <f t="shared" si="119"/>
        <v>5.6715578073423102E-4</v>
      </c>
      <c r="Y104" s="4">
        <f t="shared" si="93"/>
        <v>3.2714886743532183</v>
      </c>
      <c r="Z104" s="360">
        <f t="shared" si="120"/>
        <v>1.0702638146421379E-2</v>
      </c>
      <c r="AA104" s="541">
        <f t="shared" si="121"/>
        <v>1.0702638146421379E-2</v>
      </c>
      <c r="AB104" s="360">
        <f t="shared" si="94"/>
        <v>3.762208490227211</v>
      </c>
      <c r="AC104" s="360">
        <f t="shared" si="95"/>
        <v>8.492527634362626E-2</v>
      </c>
      <c r="AD104" s="360">
        <f t="shared" si="96"/>
        <v>0.60282517836593785</v>
      </c>
      <c r="AE104" s="360">
        <f t="shared" si="97"/>
        <v>0.63444464999999983</v>
      </c>
      <c r="AF104" s="360">
        <f t="shared" si="98"/>
        <v>0</v>
      </c>
      <c r="AG104" s="360">
        <f t="shared" si="99"/>
        <v>1.3394860506065047</v>
      </c>
      <c r="AH104" s="360">
        <f t="shared" si="100"/>
        <v>6.624904917538772</v>
      </c>
      <c r="AI104" s="360">
        <f t="shared" si="101"/>
        <v>0.1097234129160735</v>
      </c>
      <c r="AJ104" s="360">
        <f t="shared" si="102"/>
        <v>0.31281599999999993</v>
      </c>
      <c r="AK104" s="360">
        <f t="shared" si="103"/>
        <v>0.43201995366895374</v>
      </c>
      <c r="AL104" s="360">
        <f t="shared" si="104"/>
        <v>0.31281599999999993</v>
      </c>
      <c r="AM104" s="360">
        <f t="shared" si="105"/>
        <v>2.5136999999999996</v>
      </c>
      <c r="AN104" s="360">
        <f t="shared" si="106"/>
        <v>0.58043577890367115</v>
      </c>
      <c r="AO104" s="360">
        <f t="shared" si="107"/>
        <v>7.3499999999999998E-4</v>
      </c>
      <c r="AP104" s="360">
        <f t="shared" si="108"/>
        <v>0.34650000000000003</v>
      </c>
      <c r="AQ104" s="360">
        <f t="shared" si="109"/>
        <v>1.3167</v>
      </c>
      <c r="AR104" s="360">
        <f t="shared" si="110"/>
        <v>1.1088</v>
      </c>
      <c r="AS104" s="360">
        <f t="shared" si="129"/>
        <v>0.34723500000000002</v>
      </c>
      <c r="AT104" s="360">
        <f t="shared" si="122"/>
        <v>6.3952226474966327</v>
      </c>
      <c r="AU104">
        <f t="shared" si="111"/>
        <v>38</v>
      </c>
      <c r="AV104" s="542">
        <f t="shared" si="123"/>
        <v>0.85594795416895497</v>
      </c>
      <c r="AW104" s="551">
        <f t="shared" si="112"/>
        <v>149.92640253032522</v>
      </c>
      <c r="AX104" s="551">
        <f t="shared" si="113"/>
        <v>47.938556239420237</v>
      </c>
      <c r="AY104" s="9"/>
      <c r="AZ104" s="4">
        <f t="shared" si="124"/>
        <v>85.594795416895494</v>
      </c>
      <c r="BA104" s="360">
        <f t="shared" si="114"/>
        <v>0.8582600703903478</v>
      </c>
      <c r="BB104" s="360">
        <f t="shared" si="125"/>
        <v>4.2852060042754578</v>
      </c>
      <c r="BC104" s="360">
        <f t="shared" si="126"/>
        <v>2.9985280506065046</v>
      </c>
      <c r="BD104" s="360">
        <f t="shared" si="127"/>
        <v>1.2615409536689537</v>
      </c>
      <c r="BE104" s="360">
        <f t="shared" si="128"/>
        <v>0.58043577890367115</v>
      </c>
      <c r="BK104" s="18"/>
      <c r="BL104" s="19"/>
    </row>
    <row r="105" spans="7:64" x14ac:dyDescent="0.2">
      <c r="G105">
        <v>96</v>
      </c>
      <c r="H105" s="548">
        <f t="shared" si="82"/>
        <v>21</v>
      </c>
      <c r="I105" s="4">
        <f t="shared" si="83"/>
        <v>1</v>
      </c>
      <c r="J105" s="360">
        <f t="shared" si="115"/>
        <v>7.68</v>
      </c>
      <c r="K105" s="4">
        <f t="shared" ref="K105:K109" si="130">Vout2*J105/(Vin*Efficiency)</f>
        <v>2.0317460317460316</v>
      </c>
      <c r="L105" s="4"/>
      <c r="M105" s="360">
        <f t="shared" si="85"/>
        <v>0.24391541630562016</v>
      </c>
      <c r="N105" s="4">
        <f t="shared" ref="N105:N109" si="131">(Vin-(Rdson3+Rdcr2)*J105-Vout2)*M105/(Fsw*Lo_2)</f>
        <v>1.8450226690150069</v>
      </c>
      <c r="O105" s="4">
        <f t="shared" si="116"/>
        <v>8.6025113345075024</v>
      </c>
      <c r="P105" s="4">
        <f t="shared" si="117"/>
        <v>6.7574886654924962</v>
      </c>
      <c r="Q105" s="4">
        <f t="shared" ref="Q105:Q109" si="132">IF(MIN(Vin, -P105/(Coss_Q3+Coss_Q4)*0.00000002)&lt;0, 0, MIN(Vin, -P105/(Coss_Q3+Coss_Q4)*0.00000002))</f>
        <v>0</v>
      </c>
      <c r="R105" s="4">
        <f t="shared" si="88"/>
        <v>7.6984463186259173</v>
      </c>
      <c r="S105" s="360">
        <f t="shared" ref="S105:S109" si="133">R105^2*Rdcr2</f>
        <v>0.5333946814868844</v>
      </c>
      <c r="T105" s="360">
        <f t="shared" si="90"/>
        <v>0.3</v>
      </c>
      <c r="U105" s="360">
        <f t="shared" ref="U105:U109" si="134">(T105+S105*(1+Ltc*(Ta-25)))/(1-S105*Ltc*ThetaCa)</f>
        <v>0.87054208284697165</v>
      </c>
      <c r="V105" s="4">
        <f t="shared" si="118"/>
        <v>0.53261216730838801</v>
      </c>
      <c r="W105" s="360">
        <f t="shared" ref="W105:W109" si="135">Cout2_ESR*V105^2</f>
        <v>5.6735144152987658E-4</v>
      </c>
      <c r="X105" s="360">
        <f t="shared" si="119"/>
        <v>5.6735144152987658E-4</v>
      </c>
      <c r="Y105" s="4">
        <f t="shared" si="93"/>
        <v>3.3060384662916933</v>
      </c>
      <c r="Z105" s="360">
        <f t="shared" si="120"/>
        <v>1.0929890340600332E-2</v>
      </c>
      <c r="AA105" s="541">
        <f t="shared" si="121"/>
        <v>1.0929890340600332E-2</v>
      </c>
      <c r="AB105" s="360">
        <f t="shared" si="94"/>
        <v>3.8020927832222595</v>
      </c>
      <c r="AC105" s="360">
        <f t="shared" ref="AC105:AC109" si="136">Rdson3*AB105^2</f>
        <v>8.6735457193384727E-2</v>
      </c>
      <c r="AD105" s="360">
        <f t="shared" si="96"/>
        <v>0.60917070655926353</v>
      </c>
      <c r="AE105" s="360">
        <f t="shared" si="97"/>
        <v>0.63444464999999983</v>
      </c>
      <c r="AF105" s="360">
        <f t="shared" si="98"/>
        <v>0</v>
      </c>
      <c r="AG105" s="360">
        <f t="shared" ref="AG105:AG109" si="137">(AF105+AE105+AD105+AC105*(1+RdsonTopTc*Ta-RdsonTopTc*25))/(1-AC105*RdsonTopTc*ThetaJA_Q2)</f>
        <v>1.3481241994086022</v>
      </c>
      <c r="AH105" s="360">
        <f t="shared" si="100"/>
        <v>6.6940396016556516</v>
      </c>
      <c r="AI105" s="360">
        <f t="shared" ref="AI105:AI109" si="138">Rdson4*AH105^2</f>
        <v>0.11202541547133539</v>
      </c>
      <c r="AJ105" s="360">
        <f t="shared" si="102"/>
        <v>0.31610879999999997</v>
      </c>
      <c r="AK105" s="360">
        <f t="shared" ref="AK105:AK109" si="139">(AJ105+AI105*(1+RdsonBotTc*Ta-RdsonBotTc*25))/(1-AI105*RdsonBotTc*ThetaJA_Q3)</f>
        <v>0.4379464418927817</v>
      </c>
      <c r="AL105" s="360">
        <f t="shared" si="104"/>
        <v>0.31610879999999997</v>
      </c>
      <c r="AM105" s="360">
        <f t="shared" si="105"/>
        <v>2.5401599999999998</v>
      </c>
      <c r="AN105" s="360">
        <f t="shared" si="106"/>
        <v>0.59266075720764944</v>
      </c>
      <c r="AO105" s="360">
        <f t="shared" si="107"/>
        <v>7.3499999999999998E-4</v>
      </c>
      <c r="AP105" s="360">
        <f t="shared" si="108"/>
        <v>0.34650000000000003</v>
      </c>
      <c r="AQ105" s="360">
        <f t="shared" si="109"/>
        <v>1.3167</v>
      </c>
      <c r="AR105" s="360">
        <f t="shared" si="110"/>
        <v>1.1088</v>
      </c>
      <c r="AS105" s="360">
        <f t="shared" si="129"/>
        <v>0.34723500000000002</v>
      </c>
      <c r="AT105" s="360">
        <f t="shared" si="122"/>
        <v>6.4642745231381351</v>
      </c>
      <c r="AU105">
        <f t="shared" si="111"/>
        <v>38.4</v>
      </c>
      <c r="AV105" s="542">
        <f t="shared" si="123"/>
        <v>0.85591487677340516</v>
      </c>
      <c r="AW105" s="551">
        <f t="shared" si="112"/>
        <v>151.23148997043009</v>
      </c>
      <c r="AX105" s="551">
        <f t="shared" si="113"/>
        <v>48.495571191925706</v>
      </c>
      <c r="AY105" s="9"/>
      <c r="AZ105" s="4">
        <f t="shared" si="124"/>
        <v>85.59148767734051</v>
      </c>
      <c r="BA105" s="360">
        <f t="shared" si="114"/>
        <v>0.87054208284697165</v>
      </c>
      <c r="BB105" s="360">
        <f t="shared" si="125"/>
        <v>4.3262306413013834</v>
      </c>
      <c r="BC105" s="360">
        <f t="shared" si="126"/>
        <v>3.024629799408602</v>
      </c>
      <c r="BD105" s="360">
        <f t="shared" si="127"/>
        <v>1.2761992418927817</v>
      </c>
      <c r="BE105" s="360">
        <f t="shared" si="128"/>
        <v>0.59266075720764944</v>
      </c>
      <c r="BK105" s="18"/>
      <c r="BL105" s="19"/>
    </row>
    <row r="106" spans="7:64" x14ac:dyDescent="0.2">
      <c r="G106">
        <v>97</v>
      </c>
      <c r="H106" s="548">
        <f t="shared" si="82"/>
        <v>21</v>
      </c>
      <c r="I106" s="4">
        <f t="shared" si="83"/>
        <v>1</v>
      </c>
      <c r="J106" s="360">
        <f t="shared" si="115"/>
        <v>7.76</v>
      </c>
      <c r="K106" s="4">
        <f t="shared" si="130"/>
        <v>2.0529100529100526</v>
      </c>
      <c r="L106" s="4"/>
      <c r="M106" s="360">
        <f t="shared" si="85"/>
        <v>0.24397589789097046</v>
      </c>
      <c r="N106" s="4">
        <f t="shared" si="131"/>
        <v>1.8453407484481041</v>
      </c>
      <c r="O106" s="4">
        <f t="shared" si="116"/>
        <v>8.6826703742240525</v>
      </c>
      <c r="P106" s="4">
        <f t="shared" si="117"/>
        <v>6.8373296257759479</v>
      </c>
      <c r="Q106" s="4">
        <f t="shared" si="132"/>
        <v>0</v>
      </c>
      <c r="R106" s="4">
        <f t="shared" si="88"/>
        <v>7.7782628870348409</v>
      </c>
      <c r="S106" s="360">
        <f t="shared" si="133"/>
        <v>0.54451236185841212</v>
      </c>
      <c r="T106" s="360">
        <f t="shared" si="90"/>
        <v>0.3</v>
      </c>
      <c r="U106" s="360">
        <f t="shared" si="134"/>
        <v>0.88297565458995231</v>
      </c>
      <c r="V106" s="4">
        <f t="shared" si="118"/>
        <v>0.53270398893154924</v>
      </c>
      <c r="W106" s="360">
        <f t="shared" si="135"/>
        <v>5.6754707964716837E-4</v>
      </c>
      <c r="X106" s="360">
        <f t="shared" si="119"/>
        <v>5.6754707964716837E-4</v>
      </c>
      <c r="Y106" s="4">
        <f t="shared" si="93"/>
        <v>3.3405955651088473</v>
      </c>
      <c r="Z106" s="360">
        <f t="shared" si="120"/>
        <v>1.1159578729624899E-2</v>
      </c>
      <c r="AA106" s="541">
        <f t="shared" si="121"/>
        <v>1.1159578729624899E-2</v>
      </c>
      <c r="AB106" s="360">
        <f t="shared" si="94"/>
        <v>3.8419886690378799</v>
      </c>
      <c r="AC106" s="360">
        <f t="shared" si="136"/>
        <v>8.8565261598092762E-2</v>
      </c>
      <c r="AD106" s="360">
        <f t="shared" si="96"/>
        <v>0.61551623475258921</v>
      </c>
      <c r="AE106" s="360">
        <f t="shared" si="97"/>
        <v>0.63444464999999983</v>
      </c>
      <c r="AF106" s="360">
        <f t="shared" si="98"/>
        <v>0</v>
      </c>
      <c r="AG106" s="360">
        <f t="shared" si="137"/>
        <v>1.3567911600827416</v>
      </c>
      <c r="AH106" s="360">
        <f t="shared" si="100"/>
        <v>6.7631720817090049</v>
      </c>
      <c r="AI106" s="360">
        <f t="shared" si="138"/>
        <v>0.11435124151702029</v>
      </c>
      <c r="AJ106" s="360">
        <f t="shared" si="102"/>
        <v>0.31940159999999995</v>
      </c>
      <c r="AK106" s="360">
        <f t="shared" si="139"/>
        <v>0.44390506047317946</v>
      </c>
      <c r="AL106" s="360">
        <f t="shared" si="104"/>
        <v>0.31940159999999995</v>
      </c>
      <c r="AM106" s="360">
        <f t="shared" si="105"/>
        <v>2.5666199999999995</v>
      </c>
      <c r="AN106" s="360">
        <f t="shared" si="106"/>
        <v>0.60501373539823577</v>
      </c>
      <c r="AO106" s="360">
        <f t="shared" si="107"/>
        <v>7.3499999999999998E-4</v>
      </c>
      <c r="AP106" s="360">
        <f t="shared" si="108"/>
        <v>0.34650000000000003</v>
      </c>
      <c r="AQ106" s="360">
        <f t="shared" si="109"/>
        <v>1.3167</v>
      </c>
      <c r="AR106" s="360">
        <f t="shared" si="110"/>
        <v>1.1088</v>
      </c>
      <c r="AS106" s="360">
        <f t="shared" si="129"/>
        <v>0.34723500000000002</v>
      </c>
      <c r="AT106" s="360">
        <f t="shared" si="122"/>
        <v>6.5336693363533813</v>
      </c>
      <c r="AU106">
        <f t="shared" si="111"/>
        <v>38.799999999999997</v>
      </c>
      <c r="AV106" s="542">
        <f t="shared" si="123"/>
        <v>0.85587600933256047</v>
      </c>
      <c r="AW106" s="551">
        <f t="shared" si="112"/>
        <v>152.53801800413706</v>
      </c>
      <c r="AX106" s="551">
        <f t="shared" si="113"/>
        <v>49.053807097980808</v>
      </c>
      <c r="AY106" s="9"/>
      <c r="AZ106" s="4">
        <f t="shared" si="124"/>
        <v>85.587600933256041</v>
      </c>
      <c r="BA106" s="360">
        <f t="shared" si="114"/>
        <v>0.88297565458995231</v>
      </c>
      <c r="BB106" s="360">
        <f t="shared" si="125"/>
        <v>4.3673162205559208</v>
      </c>
      <c r="BC106" s="360">
        <f t="shared" si="126"/>
        <v>3.0507603600827413</v>
      </c>
      <c r="BD106" s="360">
        <f t="shared" si="127"/>
        <v>1.2908896604731792</v>
      </c>
      <c r="BE106" s="360">
        <f t="shared" si="128"/>
        <v>0.60501373539823577</v>
      </c>
      <c r="BK106" s="18"/>
      <c r="BL106" s="19"/>
    </row>
    <row r="107" spans="7:64" x14ac:dyDescent="0.2">
      <c r="G107">
        <v>98</v>
      </c>
      <c r="H107" s="548">
        <f t="shared" si="82"/>
        <v>21</v>
      </c>
      <c r="I107" s="4">
        <f t="shared" si="83"/>
        <v>1</v>
      </c>
      <c r="J107" s="360">
        <f t="shared" si="115"/>
        <v>7.84</v>
      </c>
      <c r="K107" s="4">
        <f t="shared" si="130"/>
        <v>2.074074074074074</v>
      </c>
      <c r="L107" s="4"/>
      <c r="M107" s="360">
        <f t="shared" si="85"/>
        <v>0.24403637648829318</v>
      </c>
      <c r="N107" s="4">
        <f t="shared" si="131"/>
        <v>1.8456587361607941</v>
      </c>
      <c r="O107" s="4">
        <f t="shared" si="116"/>
        <v>8.7628293680803964</v>
      </c>
      <c r="P107" s="4">
        <f t="shared" si="117"/>
        <v>6.9171706319196025</v>
      </c>
      <c r="Q107" s="4">
        <f t="shared" si="132"/>
        <v>0</v>
      </c>
      <c r="R107" s="4">
        <f t="shared" si="88"/>
        <v>7.8580831853277395</v>
      </c>
      <c r="S107" s="360">
        <f t="shared" si="133"/>
        <v>0.55574524212777487</v>
      </c>
      <c r="T107" s="360">
        <f t="shared" si="90"/>
        <v>0.3</v>
      </c>
      <c r="U107" s="360">
        <f t="shared" si="134"/>
        <v>0.89556156858988001</v>
      </c>
      <c r="V107" s="4">
        <f t="shared" si="118"/>
        <v>0.53279578407730954</v>
      </c>
      <c r="W107" s="360">
        <f t="shared" si="135"/>
        <v>5.6774269506111011E-4</v>
      </c>
      <c r="X107" s="360">
        <f t="shared" si="119"/>
        <v>5.6774269506111011E-4</v>
      </c>
      <c r="Y107" s="4">
        <f t="shared" si="93"/>
        <v>3.3751599177148339</v>
      </c>
      <c r="Z107" s="360">
        <f t="shared" si="120"/>
        <v>1.1391704470148804E-2</v>
      </c>
      <c r="AA107" s="541">
        <f t="shared" si="121"/>
        <v>1.1391704470148804E-2</v>
      </c>
      <c r="AB107" s="360">
        <f t="shared" si="94"/>
        <v>3.8818960879599853</v>
      </c>
      <c r="AC107" s="360">
        <f t="shared" si="136"/>
        <v>9.0414703426314233E-2</v>
      </c>
      <c r="AD107" s="360">
        <f t="shared" si="96"/>
        <v>0.62186176294591489</v>
      </c>
      <c r="AE107" s="360">
        <f t="shared" si="97"/>
        <v>0.63444464999999983</v>
      </c>
      <c r="AF107" s="360">
        <f t="shared" si="98"/>
        <v>0</v>
      </c>
      <c r="AG107" s="360">
        <f t="shared" si="137"/>
        <v>1.3654870526202896</v>
      </c>
      <c r="AH107" s="360">
        <f t="shared" si="100"/>
        <v>6.8323022554488553</v>
      </c>
      <c r="AI107" s="360">
        <f t="shared" si="138"/>
        <v>0.11670088527452879</v>
      </c>
      <c r="AJ107" s="360">
        <f t="shared" si="102"/>
        <v>0.32269439999999994</v>
      </c>
      <c r="AK107" s="360">
        <f t="shared" si="139"/>
        <v>0.44989593607889267</v>
      </c>
      <c r="AL107" s="360">
        <f t="shared" si="104"/>
        <v>0.32269439999999994</v>
      </c>
      <c r="AM107" s="360">
        <f t="shared" si="105"/>
        <v>2.5930799999999996</v>
      </c>
      <c r="AN107" s="360">
        <f t="shared" si="106"/>
        <v>0.61749471347530549</v>
      </c>
      <c r="AO107" s="360">
        <f t="shared" si="107"/>
        <v>7.3499999999999998E-4</v>
      </c>
      <c r="AP107" s="360">
        <f t="shared" si="108"/>
        <v>0.34650000000000003</v>
      </c>
      <c r="AQ107" s="360">
        <f t="shared" si="109"/>
        <v>1.3167</v>
      </c>
      <c r="AR107" s="360">
        <f t="shared" si="110"/>
        <v>1.1088</v>
      </c>
      <c r="AS107" s="360">
        <f t="shared" si="129"/>
        <v>0.34723500000000002</v>
      </c>
      <c r="AT107" s="360">
        <f t="shared" si="122"/>
        <v>6.6034081179295772</v>
      </c>
      <c r="AU107">
        <f t="shared" si="111"/>
        <v>39.200000000000003</v>
      </c>
      <c r="AV107" s="542">
        <f t="shared" si="123"/>
        <v>0.85583151146901892</v>
      </c>
      <c r="AW107" s="551">
        <f t="shared" si="112"/>
        <v>153.84599263101447</v>
      </c>
      <c r="AX107" s="551">
        <f t="shared" si="113"/>
        <v>49.613268770997919</v>
      </c>
      <c r="AY107" s="9"/>
      <c r="AZ107" s="4">
        <f t="shared" si="124"/>
        <v>85.583151146901898</v>
      </c>
      <c r="BA107" s="360">
        <f t="shared" si="114"/>
        <v>0.89556156858988001</v>
      </c>
      <c r="BB107" s="360">
        <f t="shared" si="125"/>
        <v>4.4084629886991813</v>
      </c>
      <c r="BC107" s="360">
        <f t="shared" si="126"/>
        <v>3.0769198526202892</v>
      </c>
      <c r="BD107" s="360">
        <f t="shared" si="127"/>
        <v>1.3056123360788927</v>
      </c>
      <c r="BE107" s="360">
        <f t="shared" si="128"/>
        <v>0.61749471347530549</v>
      </c>
      <c r="BK107" s="18"/>
      <c r="BL107" s="19"/>
    </row>
    <row r="108" spans="7:64" x14ac:dyDescent="0.2">
      <c r="G108">
        <v>99</v>
      </c>
      <c r="H108" s="548">
        <f t="shared" si="82"/>
        <v>21</v>
      </c>
      <c r="I108" s="4">
        <f t="shared" si="83"/>
        <v>1</v>
      </c>
      <c r="J108" s="360">
        <f t="shared" si="115"/>
        <v>7.92</v>
      </c>
      <c r="K108" s="4">
        <f t="shared" si="130"/>
        <v>2.0952380952380949</v>
      </c>
      <c r="L108" s="4"/>
      <c r="M108" s="360">
        <f t="shared" si="85"/>
        <v>0.24409685209780974</v>
      </c>
      <c r="N108" s="4">
        <f t="shared" si="131"/>
        <v>1.8459766321598741</v>
      </c>
      <c r="O108" s="4">
        <f t="shared" si="116"/>
        <v>8.8429883160799374</v>
      </c>
      <c r="P108" s="4">
        <f t="shared" si="117"/>
        <v>6.9970116839200625</v>
      </c>
      <c r="Q108" s="4">
        <f t="shared" si="132"/>
        <v>0</v>
      </c>
      <c r="R108" s="4">
        <f t="shared" si="88"/>
        <v>7.9379071009853321</v>
      </c>
      <c r="S108" s="360">
        <f t="shared" si="133"/>
        <v>0.5670933222948602</v>
      </c>
      <c r="T108" s="360">
        <f t="shared" si="90"/>
        <v>0.3</v>
      </c>
      <c r="U108" s="360">
        <f t="shared" si="134"/>
        <v>0.9083006195746246</v>
      </c>
      <c r="V108" s="4">
        <f t="shared" si="118"/>
        <v>0.53288755274763111</v>
      </c>
      <c r="W108" s="360">
        <f t="shared" si="135"/>
        <v>5.6793828774671863E-4</v>
      </c>
      <c r="X108" s="360">
        <f t="shared" si="119"/>
        <v>5.6793828774671863E-4</v>
      </c>
      <c r="Y108" s="4">
        <f t="shared" si="93"/>
        <v>3.409731473027219</v>
      </c>
      <c r="Z108" s="360">
        <f t="shared" si="120"/>
        <v>1.162626871815237E-2</v>
      </c>
      <c r="AA108" s="541">
        <f t="shared" si="121"/>
        <v>1.162626871815237E-2</v>
      </c>
      <c r="AB108" s="360">
        <f t="shared" si="94"/>
        <v>3.9218149825738147</v>
      </c>
      <c r="AC108" s="360">
        <f t="shared" si="136"/>
        <v>9.2283796545242699E-2</v>
      </c>
      <c r="AD108" s="360">
        <f t="shared" si="96"/>
        <v>0.62820729113924056</v>
      </c>
      <c r="AE108" s="360">
        <f t="shared" si="97"/>
        <v>0.63444464999999983</v>
      </c>
      <c r="AF108" s="360">
        <f t="shared" si="98"/>
        <v>0</v>
      </c>
      <c r="AG108" s="360">
        <f t="shared" si="137"/>
        <v>1.3742119977468181</v>
      </c>
      <c r="AH108" s="360">
        <f t="shared" si="100"/>
        <v>6.9014300247363893</v>
      </c>
      <c r="AI108" s="360">
        <f t="shared" si="138"/>
        <v>0.1190743409658323</v>
      </c>
      <c r="AJ108" s="360">
        <f t="shared" si="102"/>
        <v>0.32598719999999998</v>
      </c>
      <c r="AK108" s="360">
        <f t="shared" si="139"/>
        <v>0.45591919653812202</v>
      </c>
      <c r="AL108" s="360">
        <f t="shared" si="104"/>
        <v>0.32598719999999998</v>
      </c>
      <c r="AM108" s="360">
        <f t="shared" si="105"/>
        <v>2.6195399999999998</v>
      </c>
      <c r="AN108" s="360">
        <f t="shared" si="106"/>
        <v>0.63010369143873368</v>
      </c>
      <c r="AO108" s="360">
        <f t="shared" si="107"/>
        <v>7.3499999999999998E-4</v>
      </c>
      <c r="AP108" s="360">
        <f t="shared" si="108"/>
        <v>0.34650000000000003</v>
      </c>
      <c r="AQ108" s="360">
        <f t="shared" si="109"/>
        <v>1.3167</v>
      </c>
      <c r="AR108" s="360">
        <f t="shared" si="110"/>
        <v>1.1088</v>
      </c>
      <c r="AS108" s="360">
        <f t="shared" si="129"/>
        <v>0.34723500000000002</v>
      </c>
      <c r="AT108" s="360">
        <f t="shared" si="122"/>
        <v>6.6734919123041978</v>
      </c>
      <c r="AU108">
        <f t="shared" si="111"/>
        <v>39.6</v>
      </c>
      <c r="AV108" s="542">
        <f t="shared" si="123"/>
        <v>0.85578153632858411</v>
      </c>
      <c r="AW108" s="551">
        <f t="shared" si="112"/>
        <v>155.15541988734091</v>
      </c>
      <c r="AX108" s="551">
        <f t="shared" si="113"/>
        <v>50.173961068448634</v>
      </c>
      <c r="AY108" s="9"/>
      <c r="AZ108" s="4">
        <f t="shared" si="124"/>
        <v>85.578153632858417</v>
      </c>
      <c r="BA108" s="360">
        <f t="shared" si="114"/>
        <v>0.9083006195746246</v>
      </c>
      <c r="BB108" s="360">
        <f t="shared" si="125"/>
        <v>4.4496711942849396</v>
      </c>
      <c r="BC108" s="360">
        <f t="shared" si="126"/>
        <v>3.1031083977468183</v>
      </c>
      <c r="BD108" s="360">
        <f t="shared" si="127"/>
        <v>1.320367396538122</v>
      </c>
      <c r="BE108" s="360">
        <f t="shared" si="128"/>
        <v>0.63010369143873368</v>
      </c>
      <c r="BK108" s="18"/>
      <c r="BL108" s="19"/>
    </row>
    <row r="109" spans="7:64" x14ac:dyDescent="0.2">
      <c r="G109">
        <v>100</v>
      </c>
      <c r="H109" s="548">
        <f t="shared" si="82"/>
        <v>21</v>
      </c>
      <c r="I109" s="4">
        <f t="shared" si="83"/>
        <v>1</v>
      </c>
      <c r="J109" s="360">
        <f t="shared" si="115"/>
        <v>8</v>
      </c>
      <c r="K109" s="4">
        <f t="shared" si="130"/>
        <v>2.1164021164021163</v>
      </c>
      <c r="L109" s="4"/>
      <c r="M109" s="360">
        <f t="shared" si="85"/>
        <v>0.24415732471974158</v>
      </c>
      <c r="N109" s="4">
        <f t="shared" si="131"/>
        <v>1.846294436452141</v>
      </c>
      <c r="O109" s="4">
        <f t="shared" si="116"/>
        <v>8.9231472182260703</v>
      </c>
      <c r="P109" s="4">
        <f t="shared" si="117"/>
        <v>7.0768527817739297</v>
      </c>
      <c r="Q109" s="4">
        <f t="shared" si="132"/>
        <v>0</v>
      </c>
      <c r="R109" s="4">
        <f t="shared" si="88"/>
        <v>8.0177345259642703</v>
      </c>
      <c r="S109" s="360">
        <f t="shared" si="133"/>
        <v>0.57855660235955553</v>
      </c>
      <c r="T109" s="360">
        <f t="shared" si="90"/>
        <v>0.3</v>
      </c>
      <c r="U109" s="360">
        <f t="shared" si="134"/>
        <v>0.92119361416152434</v>
      </c>
      <c r="V109" s="4">
        <f t="shared" si="118"/>
        <v>0.53297929494447605</v>
      </c>
      <c r="W109" s="360">
        <f t="shared" si="135"/>
        <v>5.6813385767902163E-4</v>
      </c>
      <c r="X109" s="360">
        <f t="shared" si="119"/>
        <v>5.6813385767902163E-4</v>
      </c>
      <c r="Y109" s="4">
        <f t="shared" si="93"/>
        <v>3.4443101818713497</v>
      </c>
      <c r="Z109" s="360">
        <f t="shared" si="120"/>
        <v>1.1863272628942651E-2</v>
      </c>
      <c r="AA109" s="541">
        <f t="shared" si="121"/>
        <v>1.1863272628942651E-2</v>
      </c>
      <c r="AB109" s="360">
        <f t="shared" si="94"/>
        <v>3.9617452976497955</v>
      </c>
      <c r="AC109" s="360">
        <f t="shared" si="136"/>
        <v>9.4172554820701596E-2</v>
      </c>
      <c r="AD109" s="360">
        <f t="shared" si="96"/>
        <v>0.63455281933256613</v>
      </c>
      <c r="AE109" s="360">
        <f t="shared" si="97"/>
        <v>0.63444464999999983</v>
      </c>
      <c r="AF109" s="360">
        <f t="shared" si="98"/>
        <v>0</v>
      </c>
      <c r="AG109" s="360">
        <f t="shared" si="137"/>
        <v>1.3829661169274186</v>
      </c>
      <c r="AH109" s="360">
        <f t="shared" si="100"/>
        <v>6.9705552953397643</v>
      </c>
      <c r="AI109" s="360">
        <f t="shared" si="138"/>
        <v>0.12147160281347308</v>
      </c>
      <c r="AJ109" s="360">
        <f t="shared" si="102"/>
        <v>0.32927999999999996</v>
      </c>
      <c r="AK109" s="360">
        <f t="shared" si="139"/>
        <v>0.46197497084717587</v>
      </c>
      <c r="AL109" s="360">
        <f t="shared" si="104"/>
        <v>0.32927999999999996</v>
      </c>
      <c r="AM109" s="360">
        <f t="shared" si="105"/>
        <v>2.6459999999999999</v>
      </c>
      <c r="AN109" s="360">
        <f t="shared" si="106"/>
        <v>0.64284066928839512</v>
      </c>
      <c r="AO109" s="360">
        <f t="shared" si="107"/>
        <v>7.3499999999999998E-4</v>
      </c>
      <c r="AP109" s="360">
        <f t="shared" si="108"/>
        <v>0.34650000000000003</v>
      </c>
      <c r="AQ109" s="360">
        <f t="shared" si="109"/>
        <v>1.3167</v>
      </c>
      <c r="AR109" s="360">
        <f t="shared" si="110"/>
        <v>1.1088</v>
      </c>
      <c r="AS109" s="360">
        <f t="shared" si="129"/>
        <v>0.34723500000000002</v>
      </c>
      <c r="AT109" s="360">
        <f t="shared" si="122"/>
        <v>6.7439217777111358</v>
      </c>
      <c r="AU109">
        <f t="shared" si="111"/>
        <v>40</v>
      </c>
      <c r="AV109" s="542">
        <f t="shared" si="123"/>
        <v>0.85572623089304345</v>
      </c>
      <c r="AW109" s="551">
        <f t="shared" si="112"/>
        <v>156.46630584637094</v>
      </c>
      <c r="AX109" s="551">
        <f t="shared" si="113"/>
        <v>50.735888892192676</v>
      </c>
      <c r="AY109" s="9"/>
      <c r="AZ109" s="4">
        <f t="shared" si="124"/>
        <v>85.572623089304344</v>
      </c>
      <c r="BA109" s="360">
        <f t="shared" si="114"/>
        <v>0.92119361416152434</v>
      </c>
      <c r="BB109" s="360">
        <f t="shared" si="125"/>
        <v>4.4909410877745941</v>
      </c>
      <c r="BC109" s="360">
        <f t="shared" si="126"/>
        <v>3.1293261169274187</v>
      </c>
      <c r="BD109" s="360">
        <f t="shared" si="127"/>
        <v>1.3351549708471757</v>
      </c>
      <c r="BE109" s="360">
        <f t="shared" si="128"/>
        <v>0.64284066928839512</v>
      </c>
      <c r="BK109" s="18"/>
      <c r="BL109" s="19"/>
    </row>
    <row r="110" spans="7:64" x14ac:dyDescent="0.2">
      <c r="H110" s="548"/>
      <c r="I110" s="4"/>
      <c r="K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
      <c r="H111" s="548"/>
      <c r="I111" s="4"/>
      <c r="K111" s="4"/>
      <c r="L111" s="4"/>
      <c r="R111" s="360"/>
      <c r="S111" s="360"/>
      <c r="T111" s="360"/>
      <c r="U111" s="360"/>
      <c r="W111" s="360"/>
      <c r="X111" s="360"/>
      <c r="Y111" s="360"/>
      <c r="Z111" s="360"/>
      <c r="AA111" s="541"/>
      <c r="AB111" s="360"/>
      <c r="AC111" s="360"/>
      <c r="AD111" s="360"/>
      <c r="AE111" s="360"/>
      <c r="AG111" s="360">
        <v>1.0264505953745029</v>
      </c>
      <c r="AH111" s="360">
        <v>5.6934364538745408</v>
      </c>
      <c r="AI111" s="360">
        <v>0.18476674632955281</v>
      </c>
      <c r="AJ111" s="360">
        <v>0.50400000000000011</v>
      </c>
      <c r="AK111" s="360">
        <v>0.7151956198638304</v>
      </c>
      <c r="AL111" s="360">
        <v>0.50400000000000011</v>
      </c>
      <c r="AM111" s="360">
        <v>0.2772</v>
      </c>
      <c r="AN111" s="360">
        <f>CHOOSE(SENSING_TYPE, Rs_Ch2*R111^2, 0)</f>
        <v>0</v>
      </c>
      <c r="AO111" s="360">
        <v>4.1999999999999996E-4</v>
      </c>
      <c r="AP111" s="360">
        <v>0.189</v>
      </c>
      <c r="AQ111" s="360">
        <v>0.34559999999999996</v>
      </c>
      <c r="AR111" s="360">
        <v>0.2646</v>
      </c>
      <c r="AS111" s="360">
        <v>0.18942000000000001</v>
      </c>
      <c r="AT111" s="360">
        <v>3.6212425503668713</v>
      </c>
      <c r="AU111">
        <v>37.5</v>
      </c>
      <c r="AV111" s="542"/>
      <c r="AW111" s="551"/>
      <c r="AX111" s="551"/>
      <c r="AY111" s="9"/>
      <c r="AZ111" s="48"/>
      <c r="BA111" s="360"/>
      <c r="BB111" s="360"/>
      <c r="BC111" s="360"/>
      <c r="BD111" s="360"/>
      <c r="BE111" s="360"/>
    </row>
    <row r="112" spans="7:64" x14ac:dyDescent="0.2">
      <c r="H112" s="548"/>
      <c r="I112" s="4"/>
      <c r="K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
      <c r="H113" s="548"/>
      <c r="I113" s="4"/>
      <c r="K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
      <c r="H114" s="548"/>
      <c r="I114" s="4"/>
      <c r="K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
      <c r="H115" s="548"/>
      <c r="I115" s="4"/>
      <c r="K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
      <c r="H116" s="548"/>
      <c r="I116" s="4"/>
      <c r="K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
      <c r="H117" s="548"/>
      <c r="I117" s="4"/>
      <c r="K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
      <c r="H118" s="548"/>
      <c r="I118" s="4"/>
      <c r="K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
      <c r="H119" s="548"/>
      <c r="I119" s="4"/>
      <c r="K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
      <c r="H120" s="548"/>
      <c r="I120" s="4"/>
      <c r="K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
      <c r="H121" s="548"/>
      <c r="I121" s="4"/>
      <c r="K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
      <c r="H122" s="548"/>
      <c r="I122" s="4"/>
      <c r="K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
      <c r="H123" s="548"/>
      <c r="I123" s="4"/>
      <c r="K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
      <c r="H124" s="548"/>
      <c r="I124" s="4"/>
      <c r="K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
      <c r="H125" s="548"/>
      <c r="I125" s="4"/>
      <c r="K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
      <c r="H126" s="548"/>
      <c r="I126" s="4"/>
      <c r="K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
      <c r="H127" s="548"/>
      <c r="I127" s="4"/>
      <c r="K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
      <c r="H128" s="548"/>
      <c r="I128" s="4"/>
      <c r="K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
      <c r="H129" s="548"/>
      <c r="I129" s="4"/>
      <c r="K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
      <c r="H130" s="548"/>
      <c r="I130" s="4"/>
      <c r="K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
      <c r="H131" s="548"/>
      <c r="I131" s="4"/>
      <c r="K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
      <c r="H132" s="548"/>
      <c r="I132" s="4"/>
      <c r="K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
      <c r="H133" s="548"/>
      <c r="I133" s="4"/>
      <c r="K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
      <c r="H134" s="548"/>
      <c r="I134" s="4"/>
      <c r="K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
      <c r="H135" s="548"/>
      <c r="I135" s="4"/>
      <c r="K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
      <c r="H136" s="548"/>
      <c r="I136" s="4"/>
      <c r="K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
      <c r="H137" s="548"/>
      <c r="I137" s="4"/>
      <c r="K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
      <c r="H138" s="548"/>
      <c r="I138" s="4"/>
      <c r="K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
      <c r="H139" s="548"/>
      <c r="I139" s="4"/>
      <c r="K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
      <c r="H140" s="548"/>
      <c r="I140" s="4"/>
      <c r="K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
      <c r="H141" s="548"/>
      <c r="I141" s="4"/>
      <c r="K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
      <c r="H142" s="548"/>
      <c r="I142" s="4"/>
      <c r="K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
      <c r="H143" s="548"/>
      <c r="I143" s="4"/>
      <c r="K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
      <c r="H144" s="548"/>
      <c r="I144" s="4"/>
      <c r="K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
      <c r="H145" s="548"/>
      <c r="I145" s="4"/>
      <c r="K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
      <c r="H146" s="548"/>
      <c r="I146" s="4"/>
      <c r="K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
      <c r="H147" s="548"/>
      <c r="I147" s="4"/>
      <c r="K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
      <c r="H148" s="548"/>
      <c r="I148" s="4"/>
      <c r="K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
      <c r="H149" s="548"/>
      <c r="I149" s="4"/>
      <c r="K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
      <c r="H150" s="548"/>
      <c r="I150" s="4"/>
      <c r="K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
      <c r="H151" s="548"/>
      <c r="I151" s="4"/>
      <c r="K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
      <c r="H152" s="548"/>
      <c r="I152" s="4"/>
      <c r="K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
      <c r="H153" s="548"/>
      <c r="I153" s="4"/>
      <c r="K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
      <c r="H154" s="548"/>
      <c r="I154" s="4"/>
      <c r="K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
      <c r="H155" s="548"/>
      <c r="I155" s="4"/>
      <c r="K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
      <c r="H156" s="548"/>
      <c r="I156" s="4"/>
      <c r="K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
      <c r="H157" s="548"/>
      <c r="I157" s="4"/>
      <c r="K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
      <c r="H158" s="548"/>
      <c r="I158" s="4"/>
      <c r="K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
      <c r="H159" s="548"/>
      <c r="I159" s="4"/>
      <c r="K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
      <c r="H160" s="548"/>
      <c r="I160" s="4"/>
      <c r="K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
      <c r="H161" s="548"/>
      <c r="I161" s="4"/>
      <c r="K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
      <c r="H162" s="548"/>
      <c r="I162" s="4"/>
      <c r="K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
      <c r="H163" s="548"/>
      <c r="I163" s="4"/>
      <c r="K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
      <c r="H164" s="548"/>
      <c r="I164" s="4"/>
      <c r="K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
      <c r="H165" s="548"/>
      <c r="I165" s="4"/>
      <c r="K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
      <c r="H166" s="548"/>
      <c r="I166" s="4"/>
      <c r="K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
      <c r="H167" s="548"/>
      <c r="I167" s="4"/>
      <c r="K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
      <c r="H168" s="548"/>
      <c r="I168" s="4"/>
      <c r="K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
      <c r="H169" s="548"/>
      <c r="I169" s="4"/>
      <c r="K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
      <c r="H170" s="548"/>
      <c r="I170" s="4"/>
      <c r="K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
      <c r="H171" s="548"/>
      <c r="I171" s="4"/>
      <c r="K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
      <c r="H172" s="548"/>
      <c r="I172" s="4"/>
      <c r="K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
      <c r="H173" s="548"/>
      <c r="I173" s="4"/>
      <c r="K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
      <c r="H174" s="548"/>
      <c r="I174" s="4"/>
      <c r="K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
      <c r="H175" s="548"/>
      <c r="I175" s="4"/>
      <c r="K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
      <c r="H176" s="548"/>
      <c r="I176" s="4"/>
      <c r="K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
      <c r="H177" s="548"/>
      <c r="I177" s="4"/>
      <c r="K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
      <c r="H178" s="548"/>
      <c r="I178" s="4"/>
      <c r="K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
      <c r="H179" s="548"/>
      <c r="I179" s="4"/>
      <c r="K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
      <c r="H180" s="548"/>
      <c r="I180" s="4"/>
      <c r="K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
      <c r="H181" s="548"/>
      <c r="I181" s="4"/>
      <c r="K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
      <c r="H182" s="548"/>
      <c r="I182" s="4"/>
      <c r="K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
      <c r="H183" s="548"/>
      <c r="I183" s="4"/>
      <c r="K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
      <c r="H184" s="548"/>
      <c r="I184" s="4"/>
      <c r="K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
      <c r="H185" s="548"/>
      <c r="I185" s="4"/>
      <c r="K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
      <c r="H186" s="548"/>
      <c r="I186" s="4"/>
      <c r="K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
      <c r="H187" s="548"/>
      <c r="I187" s="4"/>
      <c r="K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
      <c r="H188" s="548"/>
      <c r="I188" s="4"/>
      <c r="K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
      <c r="H189" s="548"/>
      <c r="I189" s="4"/>
      <c r="K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
      <c r="H190" s="548"/>
      <c r="I190" s="4"/>
      <c r="K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
      <c r="H191" s="548"/>
      <c r="I191" s="4"/>
      <c r="K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
      <c r="H192" s="548"/>
      <c r="I192" s="4"/>
      <c r="K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
      <c r="H193" s="548"/>
      <c r="I193" s="4"/>
      <c r="K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
      <c r="H194" s="548"/>
      <c r="I194" s="4"/>
      <c r="K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
      <c r="H195" s="548"/>
      <c r="I195" s="4"/>
      <c r="K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
      <c r="H196" s="548"/>
      <c r="I196" s="4"/>
      <c r="K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
      <c r="H197" s="548"/>
      <c r="I197" s="4"/>
      <c r="K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
      <c r="H198" s="548"/>
      <c r="I198" s="4"/>
      <c r="K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
      <c r="H199" s="548"/>
      <c r="I199" s="4"/>
      <c r="K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
      <c r="H200" s="548"/>
      <c r="I200" s="4"/>
      <c r="K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
      <c r="H201" s="548"/>
      <c r="I201" s="4"/>
      <c r="K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
      <c r="H202" s="548"/>
      <c r="I202" s="4"/>
      <c r="K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
      <c r="H203" s="548"/>
      <c r="I203" s="4"/>
      <c r="K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
      <c r="H204" s="548"/>
      <c r="I204" s="4"/>
      <c r="K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
      <c r="H205" s="548"/>
      <c r="I205" s="4"/>
      <c r="K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
      <c r="H206" s="548"/>
      <c r="I206" s="4"/>
      <c r="K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
      <c r="H207" s="548"/>
      <c r="I207" s="4"/>
      <c r="K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
      <c r="H208" s="548"/>
      <c r="I208" s="4"/>
      <c r="K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
      <c r="H209" s="548"/>
      <c r="I209" s="4"/>
      <c r="K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AB7:AG7"/>
    <mergeCell ref="AH7:AK7"/>
    <mergeCell ref="AO7:AS7"/>
    <mergeCell ref="AT7:AX7"/>
    <mergeCell ref="AZ7:BE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2:B7"/>
  <sheetViews>
    <sheetView zoomScaleNormal="100" workbookViewId="0">
      <selection activeCell="F5" sqref="F5"/>
    </sheetView>
  </sheetViews>
  <sheetFormatPr defaultRowHeight="12.75" x14ac:dyDescent="0.2"/>
  <cols>
    <col min="1" max="1" width="10.5703125" customWidth="1"/>
    <col min="2" max="2" width="126" customWidth="1"/>
  </cols>
  <sheetData>
    <row r="2" spans="1:2" x14ac:dyDescent="0.2">
      <c r="A2" t="str">
        <f>IF(PLOT_TYPE=1, "EFF_Ch1", "EFF_Ch2")</f>
        <v>EFF_Ch1</v>
      </c>
    </row>
    <row r="5" spans="1:2" ht="409.5" customHeight="1" x14ac:dyDescent="0.2">
      <c r="B5" s="537"/>
    </row>
    <row r="7" spans="1:2" ht="409.5" customHeight="1" x14ac:dyDescent="0.2">
      <c r="B7" s="53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N10"/>
  <sheetViews>
    <sheetView topLeftCell="A10" zoomScaleNormal="100" workbookViewId="0">
      <selection activeCell="B14" sqref="B14"/>
    </sheetView>
  </sheetViews>
  <sheetFormatPr defaultRowHeight="12.75" x14ac:dyDescent="0.2"/>
  <cols>
    <col min="1" max="1" width="10.5703125" customWidth="1"/>
    <col min="2" max="2" width="129.28515625" customWidth="1"/>
  </cols>
  <sheetData>
    <row r="1" spans="1:14" x14ac:dyDescent="0.2">
      <c r="J1" s="114" t="s">
        <v>621</v>
      </c>
      <c r="N1" s="114" t="s">
        <v>623</v>
      </c>
    </row>
    <row r="2" spans="1:14" x14ac:dyDescent="0.2">
      <c r="A2" t="str">
        <f>CHOOSE(SCH_MODE, "SCH_DUAL", "SCH_SINGLE", "SCH_MULTIPHASE", "SCH_MULTIPHASE")</f>
        <v>SCH_DUAL</v>
      </c>
      <c r="J2" s="114" t="s">
        <v>622</v>
      </c>
      <c r="N2" s="114" t="s">
        <v>777</v>
      </c>
    </row>
    <row r="3" spans="1:14" x14ac:dyDescent="0.2">
      <c r="J3" s="114" t="s">
        <v>620</v>
      </c>
    </row>
    <row r="4" spans="1:14" x14ac:dyDescent="0.2">
      <c r="J4" s="114" t="s">
        <v>619</v>
      </c>
    </row>
    <row r="5" spans="1:14" ht="409.5" customHeight="1" x14ac:dyDescent="0.2">
      <c r="B5" s="537"/>
    </row>
    <row r="6" spans="1:14" ht="12" customHeight="1" x14ac:dyDescent="0.2">
      <c r="B6" s="537"/>
    </row>
    <row r="7" spans="1:14" ht="34.5" customHeight="1" x14ac:dyDescent="0.2"/>
    <row r="8" spans="1:14" ht="409.5" customHeight="1" x14ac:dyDescent="0.2">
      <c r="B8" s="537"/>
    </row>
    <row r="9" spans="1:14" x14ac:dyDescent="0.2">
      <c r="B9" s="537"/>
    </row>
    <row r="10" spans="1:14" ht="409.5" customHeight="1" x14ac:dyDescent="0.2">
      <c r="B10" s="537"/>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2:P159"/>
  <sheetViews>
    <sheetView workbookViewId="0">
      <selection activeCell="L45" sqref="L44:L45"/>
    </sheetView>
  </sheetViews>
  <sheetFormatPr defaultRowHeight="12.75" x14ac:dyDescent="0.2"/>
  <cols>
    <col min="1" max="1" width="17.28515625" customWidth="1"/>
    <col min="2" max="2" width="12" bestFit="1" customWidth="1"/>
    <col min="3" max="4" width="12.42578125" bestFit="1" customWidth="1"/>
    <col min="7" max="9" width="12.42578125" bestFit="1" customWidth="1"/>
    <col min="10" max="10" width="11.42578125" bestFit="1" customWidth="1"/>
    <col min="13" max="13" width="12.140625" customWidth="1"/>
    <col min="14" max="14" width="12.42578125" bestFit="1" customWidth="1"/>
    <col min="15" max="15" width="15.42578125" customWidth="1"/>
  </cols>
  <sheetData>
    <row r="2" spans="1:16" x14ac:dyDescent="0.2">
      <c r="A2" t="s">
        <v>160</v>
      </c>
      <c r="B2" t="s">
        <v>152</v>
      </c>
      <c r="C2" t="s">
        <v>31</v>
      </c>
      <c r="D2" t="s">
        <v>32</v>
      </c>
      <c r="E2" t="s">
        <v>25</v>
      </c>
      <c r="F2" t="s">
        <v>57</v>
      </c>
      <c r="G2" s="114" t="s">
        <v>682</v>
      </c>
      <c r="H2" s="114" t="s">
        <v>323</v>
      </c>
      <c r="I2" s="114" t="s">
        <v>734</v>
      </c>
      <c r="J2" s="114" t="s">
        <v>735</v>
      </c>
    </row>
    <row r="3" spans="1:16" x14ac:dyDescent="0.2">
      <c r="A3" t="s">
        <v>163</v>
      </c>
      <c r="B3">
        <f>Css</f>
        <v>1.0000000000000002E-7</v>
      </c>
      <c r="C3">
        <f>Cc1ea</f>
        <v>2.7219316536076302E-8</v>
      </c>
      <c r="D3">
        <f>Cc2ea</f>
        <v>1.4917275390377148E-10</v>
      </c>
      <c r="E3">
        <f>Cout</f>
        <v>4.6999999999999999E-6</v>
      </c>
      <c r="F3">
        <f>Cin</f>
        <v>5.0000000000000002E-5</v>
      </c>
      <c r="G3">
        <f>Cres</f>
        <v>5.0000000000000008E-7</v>
      </c>
      <c r="H3">
        <f>Cdither_init</f>
        <v>9.2592592592592591E-9</v>
      </c>
      <c r="I3">
        <f>Cc3ea</f>
        <v>1.7964748913810363E-8</v>
      </c>
      <c r="J3">
        <f>Cc4ea</f>
        <v>9.62895103479661E-11</v>
      </c>
      <c r="M3" t="s">
        <v>165</v>
      </c>
      <c r="N3" t="s">
        <v>166</v>
      </c>
      <c r="O3" s="2" t="s">
        <v>162</v>
      </c>
    </row>
    <row r="4" spans="1:16" x14ac:dyDescent="0.2">
      <c r="A4" s="7" t="s">
        <v>162</v>
      </c>
      <c r="B4" s="7">
        <f>SUM(B6:B158)/1000000000000</f>
        <v>9.9999999999999995E-8</v>
      </c>
      <c r="C4" s="7">
        <f>IF(C3="OPEN","OPEN",SUM(C6:C158)/1000000000000)</f>
        <v>2.7E-8</v>
      </c>
      <c r="D4" s="7">
        <f>SUM(D6:D158)/1000000000000</f>
        <v>1.5E-10</v>
      </c>
      <c r="E4" s="7">
        <f>SUM(E6:E158)/1000000000000</f>
        <v>4.6999999999999999E-6</v>
      </c>
      <c r="F4" s="7">
        <f>SUM(F6:F158)/1000000000000</f>
        <v>4.6999999999999997E-5</v>
      </c>
      <c r="G4" s="7">
        <f>SUM(G6:G158)/1000000000000</f>
        <v>4.7E-7</v>
      </c>
      <c r="H4" s="7">
        <f t="shared" ref="H4:J4" si="0">IF(H3="OPEN","OPEN",SUM(H6:H158)/1000000000000)</f>
        <v>1E-8</v>
      </c>
      <c r="I4" s="7">
        <f t="shared" si="0"/>
        <v>1.7999999999999999E-8</v>
      </c>
      <c r="J4" s="7">
        <f t="shared" si="0"/>
        <v>1E-10</v>
      </c>
      <c r="M4" s="114" t="s">
        <v>280</v>
      </c>
      <c r="N4">
        <f>Rfadj</f>
        <v>10476.190476190475</v>
      </c>
      <c r="O4" s="2">
        <f t="shared" ref="O4:O7"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10500</v>
      </c>
      <c r="P4" s="45" t="s">
        <v>268</v>
      </c>
    </row>
    <row r="5" spans="1:16" x14ac:dyDescent="0.2">
      <c r="A5" t="s">
        <v>161</v>
      </c>
      <c r="O5" s="2"/>
      <c r="P5" s="45"/>
    </row>
    <row r="6" spans="1:16" x14ac:dyDescent="0.2">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M6" s="114"/>
      <c r="N6" s="53"/>
      <c r="O6" s="2"/>
      <c r="P6" s="45"/>
    </row>
    <row r="7" spans="1:16" x14ac:dyDescent="0.2">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f t="shared" si="8"/>
        <v>0</v>
      </c>
      <c r="I7">
        <f t="shared" si="8"/>
        <v>0</v>
      </c>
      <c r="J7">
        <f t="shared" si="8"/>
        <v>0</v>
      </c>
      <c r="M7" t="s">
        <v>179</v>
      </c>
      <c r="N7">
        <f>Rcea1</f>
        <v>974.52204003000008</v>
      </c>
      <c r="O7" s="2">
        <f t="shared" si="1"/>
        <v>976</v>
      </c>
      <c r="P7" s="45" t="s">
        <v>268</v>
      </c>
    </row>
    <row r="8" spans="1:16" x14ac:dyDescent="0.2">
      <c r="A8">
        <v>0.68</v>
      </c>
      <c r="B8">
        <f t="shared" si="3"/>
        <v>0</v>
      </c>
      <c r="C8">
        <f t="shared" si="4"/>
        <v>0</v>
      </c>
      <c r="D8">
        <f t="shared" si="5"/>
        <v>0</v>
      </c>
      <c r="E8">
        <f t="shared" si="6"/>
        <v>0</v>
      </c>
      <c r="F8">
        <f t="shared" si="7"/>
        <v>0</v>
      </c>
      <c r="G8">
        <f t="shared" si="8"/>
        <v>0</v>
      </c>
      <c r="H8">
        <f t="shared" si="8"/>
        <v>0</v>
      </c>
      <c r="I8">
        <f t="shared" si="8"/>
        <v>0</v>
      </c>
      <c r="J8">
        <f t="shared" si="8"/>
        <v>0</v>
      </c>
      <c r="M8" t="s">
        <v>179</v>
      </c>
      <c r="N8">
        <f>Rcea2</f>
        <v>1476.5485455</v>
      </c>
      <c r="O8" s="2">
        <f t="shared" ref="O8" si="9">IF(N8&gt;(INT(0.5+100*POWER(10,IF(96*(LOG(N8)-INT(LOG(N8)))-ROUND(96*(LOG(N8)-INT(LOG(N8))),0)&lt;0,ROUND(96*(LOG(N8)-INT(LOG(N8))),0)-1,ROUND(96*(LOG(N8)-INT(LOG(N8))),0))/96))*POWER(10,INT(LOG(N8))-2)+INT(0.5+100*POWER(10,(IF(96*(LOG(N8)-INT(LOG(N8)))-ROUND(96*(LOG(N8)-INT(LOG(N8))),0)&lt;0,ROUND(96*(LOG(N8)-INT(LOG(N8))),0)-1,ROUND(96*(LOG(N8)-INT(LOG(N8))),0))+1)/96))*POWER(10,INT(LOG(N8))-2))/2,INT(0.5+100*POWER(10,(IF(96*(LOG(N8)-INT(LOG(N8)))-ROUND(96*(LOG(N8)-INT(LOG(N8))),0)&lt;0,ROUND(96*(LOG(N8)-INT(LOG(N8))),0)-1,ROUND(96*(LOG(N8)-INT(LOG(N8))),0))+1)/96))*POWER(10,INT(LOG(N8))-2),INT(0.5+100*POWER(10,IF(96*(LOG(N8)-INT(LOG(N8)))-ROUND(96*(LOG(N8)-INT(LOG(N8))),0)&lt;0,ROUND(96*(LOG(N8)-INT(LOG(N8))),0)-1,ROUND(96*(LOG(N8)-INT(LOG(N8))),0))/96))*POWER(10,INT(LOG(N8))-2))</f>
        <v>1470</v>
      </c>
      <c r="P8" s="45" t="s">
        <v>268</v>
      </c>
    </row>
    <row r="9" spans="1:16" x14ac:dyDescent="0.2">
      <c r="A9">
        <v>0.82</v>
      </c>
      <c r="B9">
        <f t="shared" si="3"/>
        <v>0</v>
      </c>
      <c r="C9">
        <f t="shared" si="4"/>
        <v>0</v>
      </c>
      <c r="D9">
        <f t="shared" si="5"/>
        <v>0</v>
      </c>
      <c r="E9">
        <f t="shared" si="6"/>
        <v>0</v>
      </c>
      <c r="F9">
        <f t="shared" si="7"/>
        <v>0</v>
      </c>
      <c r="G9">
        <f t="shared" si="8"/>
        <v>0</v>
      </c>
      <c r="H9">
        <f t="shared" si="8"/>
        <v>0</v>
      </c>
      <c r="I9">
        <f t="shared" si="8"/>
        <v>0</v>
      </c>
      <c r="J9">
        <f t="shared" si="8"/>
        <v>0</v>
      </c>
    </row>
    <row r="10" spans="1:16" x14ac:dyDescent="0.2">
      <c r="A10">
        <v>1</v>
      </c>
      <c r="B10">
        <f t="shared" si="3"/>
        <v>0</v>
      </c>
      <c r="C10">
        <f t="shared" si="4"/>
        <v>0</v>
      </c>
      <c r="D10">
        <f t="shared" si="5"/>
        <v>0</v>
      </c>
      <c r="E10">
        <f t="shared" si="6"/>
        <v>0</v>
      </c>
      <c r="F10">
        <f t="shared" si="7"/>
        <v>0</v>
      </c>
      <c r="G10">
        <f t="shared" si="8"/>
        <v>0</v>
      </c>
      <c r="H10">
        <f t="shared" si="8"/>
        <v>0</v>
      </c>
      <c r="I10">
        <f t="shared" si="8"/>
        <v>0</v>
      </c>
      <c r="J10">
        <f t="shared" si="8"/>
        <v>0</v>
      </c>
      <c r="M10" t="s">
        <v>29</v>
      </c>
      <c r="N10">
        <f>Rfb1_</f>
        <v>10000</v>
      </c>
      <c r="O10" s="2">
        <f>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10000</v>
      </c>
      <c r="P10" s="45" t="s">
        <v>268</v>
      </c>
    </row>
    <row r="11" spans="1:16" x14ac:dyDescent="0.2">
      <c r="A11">
        <v>1.2</v>
      </c>
      <c r="B11">
        <f t="shared" si="3"/>
        <v>0</v>
      </c>
      <c r="C11">
        <f t="shared" si="4"/>
        <v>0</v>
      </c>
      <c r="D11">
        <f t="shared" si="5"/>
        <v>0</v>
      </c>
      <c r="E11">
        <f t="shared" si="6"/>
        <v>0</v>
      </c>
      <c r="F11">
        <f t="shared" si="7"/>
        <v>0</v>
      </c>
      <c r="G11">
        <f t="shared" si="8"/>
        <v>0</v>
      </c>
      <c r="H11">
        <f t="shared" si="8"/>
        <v>0</v>
      </c>
      <c r="I11">
        <f t="shared" si="8"/>
        <v>0</v>
      </c>
      <c r="J11">
        <f t="shared" si="8"/>
        <v>0</v>
      </c>
      <c r="M11" t="s">
        <v>40</v>
      </c>
      <c r="N11" s="48">
        <f>Rfb2_</f>
        <v>2222.2222222222226</v>
      </c>
      <c r="O11" s="2">
        <f>IF(N11="OPEN","OPEN",IF(N11&gt;(INT(0.5+100*POWER(10,IF(96*(LOG(N11)-INT(LOG(N11)))-ROUND(96*(LOG(N11)-INT(LOG(N11))),0)&lt;0,ROUND(96*(LOG(N11)-INT(LOG(N11))),0)-1,ROUND(96*(LOG(N11)-INT(LOG(N11))),0))/96))*POWER(10,INT(LOG(N11))-2)+INT(0.5+100*POWER(10,(IF(96*(LOG(N11)-INT(LOG(N11)))-ROUND(96*(LOG(N11)-INT(LOG(N11))),0)&lt;0,ROUND(96*(LOG(N11)-INT(LOG(N11))),0)-1,ROUND(96*(LOG(N11)-INT(LOG(N11))),0))+1)/96))*POWER(10,INT(LOG(N11))-2))/2,INT(0.5+100*POWER(10,(IF(96*(LOG(N11)-INT(LOG(N11)))-ROUND(96*(LOG(N11)-INT(LOG(N11))),0)&lt;0,ROUND(96*(LOG(N11)-INT(LOG(N11))),0)-1,ROUND(96*(LOG(N11)-INT(LOG(N11))),0))+1)/96))*POWER(10,INT(LOG(N11))-2),INT(0.5+100*POWER(10,IF(96*(LOG(N11)-INT(LOG(N11)))-ROUND(96*(LOG(N11)-INT(LOG(N11))),0)&lt;0,ROUND(96*(LOG(N11)-INT(LOG(N11))),0)-1,ROUND(96*(LOG(N11)-INT(LOG(N11))),0))/96))*POWER(10,INT(LOG(N11))-2)))</f>
        <v>2210</v>
      </c>
      <c r="P11" s="45" t="s">
        <v>268</v>
      </c>
    </row>
    <row r="12" spans="1:16" x14ac:dyDescent="0.2">
      <c r="A12">
        <v>1.5</v>
      </c>
      <c r="B12">
        <f t="shared" si="3"/>
        <v>0</v>
      </c>
      <c r="C12">
        <f t="shared" si="4"/>
        <v>0</v>
      </c>
      <c r="D12">
        <f t="shared" si="5"/>
        <v>0</v>
      </c>
      <c r="E12">
        <f t="shared" si="6"/>
        <v>0</v>
      </c>
      <c r="F12">
        <f t="shared" si="7"/>
        <v>0</v>
      </c>
      <c r="G12">
        <f t="shared" si="8"/>
        <v>0</v>
      </c>
      <c r="H12">
        <f t="shared" si="8"/>
        <v>0</v>
      </c>
      <c r="I12">
        <f t="shared" si="8"/>
        <v>0</v>
      </c>
      <c r="J12">
        <f t="shared" si="8"/>
        <v>0</v>
      </c>
      <c r="M12" s="114" t="s">
        <v>736</v>
      </c>
      <c r="N12">
        <f>Rfb3_</f>
        <v>10000</v>
      </c>
      <c r="O12" s="2">
        <f>IF(N12&gt;(INT(0.5+100*POWER(10,IF(96*(LOG(N12)-INT(LOG(N12)))-ROUND(96*(LOG(N12)-INT(LOG(N12))),0)&lt;0,ROUND(96*(LOG(N12)-INT(LOG(N12))),0)-1,ROUND(96*(LOG(N12)-INT(LOG(N12))),0))/96))*POWER(10,INT(LOG(N12))-2)+INT(0.5+100*POWER(10,(IF(96*(LOG(N12)-INT(LOG(N12)))-ROUND(96*(LOG(N12)-INT(LOG(N12))),0)&lt;0,ROUND(96*(LOG(N12)-INT(LOG(N12))),0)-1,ROUND(96*(LOG(N12)-INT(LOG(N12))),0))+1)/96))*POWER(10,INT(LOG(N12))-2))/2,INT(0.5+100*POWER(10,(IF(96*(LOG(N12)-INT(LOG(N12)))-ROUND(96*(LOG(N12)-INT(LOG(N12))),0)&lt;0,ROUND(96*(LOG(N12)-INT(LOG(N12))),0)-1,ROUND(96*(LOG(N12)-INT(LOG(N12))),0))+1)/96))*POWER(10,INT(LOG(N12))-2),INT(0.5+100*POWER(10,IF(96*(LOG(N12)-INT(LOG(N12)))-ROUND(96*(LOG(N12)-INT(LOG(N12))),0)&lt;0,ROUND(96*(LOG(N12)-INT(LOG(N12))),0)-1,ROUND(96*(LOG(N12)-INT(LOG(N12))),0))/96))*POWER(10,INT(LOG(N12))-2))</f>
        <v>10000</v>
      </c>
      <c r="P12" s="45" t="s">
        <v>268</v>
      </c>
    </row>
    <row r="13" spans="1:16" x14ac:dyDescent="0.2">
      <c r="A13">
        <v>1.8</v>
      </c>
      <c r="B13">
        <f t="shared" si="3"/>
        <v>0</v>
      </c>
      <c r="C13">
        <f t="shared" si="4"/>
        <v>0</v>
      </c>
      <c r="D13">
        <f t="shared" si="5"/>
        <v>0</v>
      </c>
      <c r="E13">
        <f t="shared" si="6"/>
        <v>0</v>
      </c>
      <c r="F13">
        <f t="shared" si="7"/>
        <v>0</v>
      </c>
      <c r="G13">
        <f t="shared" si="8"/>
        <v>0</v>
      </c>
      <c r="H13">
        <f t="shared" si="8"/>
        <v>0</v>
      </c>
      <c r="I13">
        <f t="shared" si="8"/>
        <v>0</v>
      </c>
      <c r="J13">
        <f t="shared" si="8"/>
        <v>0</v>
      </c>
      <c r="M13" s="114" t="s">
        <v>737</v>
      </c>
      <c r="N13" s="48">
        <f>Rfb4_</f>
        <v>1363.6363636363635</v>
      </c>
      <c r="O13" s="2">
        <f>IF(N13="OPEN","OPEN",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1370</v>
      </c>
      <c r="P13" s="45" t="s">
        <v>268</v>
      </c>
    </row>
    <row r="14" spans="1:16" x14ac:dyDescent="0.2">
      <c r="A14">
        <v>2.2000000000000002</v>
      </c>
      <c r="B14">
        <f t="shared" ref="B14:J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row>
    <row r="15" spans="1:16" x14ac:dyDescent="0.2">
      <c r="A15">
        <v>2.7</v>
      </c>
      <c r="B15">
        <f t="shared" si="3"/>
        <v>0</v>
      </c>
      <c r="C15">
        <f t="shared" si="4"/>
        <v>0</v>
      </c>
      <c r="D15">
        <f t="shared" si="5"/>
        <v>0</v>
      </c>
      <c r="E15">
        <f t="shared" si="6"/>
        <v>0</v>
      </c>
      <c r="F15">
        <f t="shared" si="7"/>
        <v>0</v>
      </c>
      <c r="G15">
        <f t="shared" si="8"/>
        <v>0</v>
      </c>
      <c r="H15">
        <f t="shared" si="8"/>
        <v>0</v>
      </c>
      <c r="I15">
        <f t="shared" si="8"/>
        <v>0</v>
      </c>
      <c r="J15">
        <f t="shared" si="8"/>
        <v>0</v>
      </c>
    </row>
    <row r="16" spans="1:16" x14ac:dyDescent="0.2">
      <c r="A16">
        <v>3.3</v>
      </c>
      <c r="B16">
        <f t="shared" si="3"/>
        <v>0</v>
      </c>
      <c r="C16">
        <f t="shared" si="4"/>
        <v>0</v>
      </c>
      <c r="D16">
        <f t="shared" si="5"/>
        <v>0</v>
      </c>
      <c r="E16">
        <f t="shared" si="6"/>
        <v>0</v>
      </c>
      <c r="F16">
        <f t="shared" si="7"/>
        <v>0</v>
      </c>
      <c r="G16">
        <f t="shared" si="8"/>
        <v>0</v>
      </c>
      <c r="H16">
        <f t="shared" si="8"/>
        <v>0</v>
      </c>
      <c r="I16">
        <f t="shared" si="8"/>
        <v>0</v>
      </c>
      <c r="J16">
        <f t="shared" si="8"/>
        <v>0</v>
      </c>
      <c r="M16" s="114" t="s">
        <v>167</v>
      </c>
      <c r="N16" s="360">
        <f>Rs_ideal*1000</f>
        <v>7.3075183593050337</v>
      </c>
      <c r="O16" s="2">
        <f>IF(N16=0,0,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7.32</v>
      </c>
      <c r="P16" s="45" t="s">
        <v>318</v>
      </c>
    </row>
    <row r="17" spans="1:16" x14ac:dyDescent="0.2">
      <c r="A17">
        <v>3.9</v>
      </c>
      <c r="B17">
        <f t="shared" si="3"/>
        <v>0</v>
      </c>
      <c r="C17">
        <f t="shared" si="4"/>
        <v>0</v>
      </c>
      <c r="D17">
        <f t="shared" si="5"/>
        <v>0</v>
      </c>
      <c r="E17">
        <f t="shared" si="6"/>
        <v>0</v>
      </c>
      <c r="F17">
        <f t="shared" si="7"/>
        <v>0</v>
      </c>
      <c r="G17">
        <f t="shared" si="8"/>
        <v>0</v>
      </c>
      <c r="H17">
        <f t="shared" si="8"/>
        <v>0</v>
      </c>
      <c r="I17">
        <f t="shared" si="8"/>
        <v>0</v>
      </c>
      <c r="J17">
        <f t="shared" si="8"/>
        <v>0</v>
      </c>
      <c r="M17" s="114" t="s">
        <v>682</v>
      </c>
      <c r="N17">
        <f>Cres</f>
        <v>5.0000000000000008E-7</v>
      </c>
      <c r="O17">
        <f>G4*1000000000000</f>
        <v>470000</v>
      </c>
      <c r="P17" s="114" t="s">
        <v>30</v>
      </c>
    </row>
    <row r="18" spans="1:16" x14ac:dyDescent="0.2">
      <c r="A18">
        <v>4.7</v>
      </c>
      <c r="B18">
        <f t="shared" si="3"/>
        <v>0</v>
      </c>
      <c r="C18">
        <f t="shared" si="4"/>
        <v>0</v>
      </c>
      <c r="D18">
        <f t="shared" si="5"/>
        <v>0</v>
      </c>
      <c r="E18">
        <f t="shared" si="6"/>
        <v>0</v>
      </c>
      <c r="F18">
        <f t="shared" si="7"/>
        <v>0</v>
      </c>
      <c r="G18">
        <f t="shared" si="8"/>
        <v>0</v>
      </c>
      <c r="H18">
        <f t="shared" si="8"/>
        <v>0</v>
      </c>
      <c r="I18">
        <f t="shared" si="8"/>
        <v>0</v>
      </c>
      <c r="J18">
        <f t="shared" si="8"/>
        <v>0</v>
      </c>
    </row>
    <row r="19" spans="1:16" x14ac:dyDescent="0.2">
      <c r="A19">
        <v>5.6</v>
      </c>
      <c r="B19">
        <f t="shared" si="3"/>
        <v>0</v>
      </c>
      <c r="C19">
        <f t="shared" si="4"/>
        <v>0</v>
      </c>
      <c r="D19">
        <f t="shared" si="5"/>
        <v>0</v>
      </c>
      <c r="E19">
        <f t="shared" si="6"/>
        <v>0</v>
      </c>
      <c r="F19">
        <f t="shared" si="7"/>
        <v>0</v>
      </c>
      <c r="G19">
        <f t="shared" si="8"/>
        <v>0</v>
      </c>
      <c r="H19">
        <f t="shared" si="8"/>
        <v>0</v>
      </c>
      <c r="I19">
        <f t="shared" si="8"/>
        <v>0</v>
      </c>
      <c r="J19">
        <f t="shared" si="8"/>
        <v>0</v>
      </c>
      <c r="M19" s="114"/>
      <c r="O19" s="2"/>
      <c r="P19" s="45"/>
    </row>
    <row r="20" spans="1:16" x14ac:dyDescent="0.2">
      <c r="A20">
        <v>6.8</v>
      </c>
      <c r="B20">
        <f t="shared" si="3"/>
        <v>0</v>
      </c>
      <c r="C20">
        <f t="shared" si="4"/>
        <v>0</v>
      </c>
      <c r="D20">
        <f t="shared" si="5"/>
        <v>0</v>
      </c>
      <c r="E20">
        <f t="shared" si="6"/>
        <v>0</v>
      </c>
      <c r="F20">
        <f t="shared" si="7"/>
        <v>0</v>
      </c>
      <c r="G20">
        <f t="shared" si="8"/>
        <v>0</v>
      </c>
      <c r="H20">
        <f t="shared" si="8"/>
        <v>0</v>
      </c>
      <c r="I20">
        <f t="shared" si="8"/>
        <v>0</v>
      </c>
      <c r="J20">
        <f t="shared" si="8"/>
        <v>0</v>
      </c>
      <c r="M20" s="114"/>
      <c r="O20" s="2"/>
      <c r="P20" s="45"/>
    </row>
    <row r="21" spans="1:16" x14ac:dyDescent="0.2">
      <c r="A21">
        <v>8.1999999999999993</v>
      </c>
      <c r="B21">
        <f t="shared" si="3"/>
        <v>0</v>
      </c>
      <c r="C21">
        <f t="shared" si="4"/>
        <v>0</v>
      </c>
      <c r="D21">
        <f t="shared" si="5"/>
        <v>0</v>
      </c>
      <c r="E21">
        <f t="shared" si="6"/>
        <v>0</v>
      </c>
      <c r="F21">
        <f t="shared" si="7"/>
        <v>0</v>
      </c>
      <c r="G21">
        <f t="shared" si="8"/>
        <v>0</v>
      </c>
      <c r="H21">
        <f t="shared" si="8"/>
        <v>0</v>
      </c>
      <c r="I21">
        <f t="shared" si="8"/>
        <v>0</v>
      </c>
      <c r="J21">
        <f t="shared" si="8"/>
        <v>0</v>
      </c>
      <c r="O21" s="2"/>
    </row>
    <row r="22" spans="1:16" x14ac:dyDescent="0.2">
      <c r="A22">
        <v>10</v>
      </c>
      <c r="B22">
        <f t="shared" si="3"/>
        <v>0</v>
      </c>
      <c r="C22">
        <f t="shared" si="4"/>
        <v>0</v>
      </c>
      <c r="D22">
        <f t="shared" si="5"/>
        <v>0</v>
      </c>
      <c r="E22">
        <f t="shared" si="6"/>
        <v>0</v>
      </c>
      <c r="F22">
        <f t="shared" si="7"/>
        <v>0</v>
      </c>
      <c r="G22">
        <f t="shared" si="8"/>
        <v>0</v>
      </c>
      <c r="H22">
        <f t="shared" si="8"/>
        <v>0</v>
      </c>
      <c r="I22">
        <f t="shared" si="8"/>
        <v>0</v>
      </c>
      <c r="J22">
        <f t="shared" si="8"/>
        <v>0</v>
      </c>
      <c r="M22" s="114" t="s">
        <v>323</v>
      </c>
      <c r="N22">
        <f>Cdither_init</f>
        <v>9.2592592592592591E-9</v>
      </c>
      <c r="O22" s="2">
        <f>H4</f>
        <v>1E-8</v>
      </c>
    </row>
    <row r="23" spans="1:16" x14ac:dyDescent="0.2">
      <c r="A23">
        <v>12</v>
      </c>
      <c r="B23">
        <f t="shared" si="3"/>
        <v>0</v>
      </c>
      <c r="C23">
        <f t="shared" si="4"/>
        <v>0</v>
      </c>
      <c r="D23">
        <f t="shared" si="5"/>
        <v>0</v>
      </c>
      <c r="E23">
        <f t="shared" si="6"/>
        <v>0</v>
      </c>
      <c r="F23">
        <f t="shared" si="7"/>
        <v>0</v>
      </c>
      <c r="G23">
        <f t="shared" si="8"/>
        <v>0</v>
      </c>
      <c r="H23">
        <f t="shared" si="8"/>
        <v>0</v>
      </c>
      <c r="I23">
        <f t="shared" si="8"/>
        <v>0</v>
      </c>
      <c r="J23">
        <f t="shared" si="8"/>
        <v>0</v>
      </c>
      <c r="O23" s="2"/>
    </row>
    <row r="24" spans="1:16" x14ac:dyDescent="0.2">
      <c r="A24">
        <v>15</v>
      </c>
      <c r="B24">
        <f t="shared" si="3"/>
        <v>0</v>
      </c>
      <c r="C24">
        <f t="shared" si="4"/>
        <v>0</v>
      </c>
      <c r="D24">
        <f t="shared" si="5"/>
        <v>0</v>
      </c>
      <c r="E24">
        <f t="shared" si="6"/>
        <v>0</v>
      </c>
      <c r="F24">
        <f t="shared" si="7"/>
        <v>0</v>
      </c>
      <c r="G24">
        <f t="shared" si="8"/>
        <v>0</v>
      </c>
      <c r="H24">
        <f t="shared" si="8"/>
        <v>0</v>
      </c>
      <c r="I24">
        <f t="shared" si="8"/>
        <v>0</v>
      </c>
      <c r="J24">
        <f t="shared" si="8"/>
        <v>0</v>
      </c>
      <c r="M24" s="114"/>
      <c r="N24" s="311"/>
      <c r="O24" s="2"/>
      <c r="P24" s="45"/>
    </row>
    <row r="25" spans="1:16" x14ac:dyDescent="0.2">
      <c r="A25">
        <v>18</v>
      </c>
      <c r="B25">
        <f t="shared" si="3"/>
        <v>0</v>
      </c>
      <c r="C25">
        <f t="shared" si="4"/>
        <v>0</v>
      </c>
      <c r="D25">
        <f t="shared" si="5"/>
        <v>0</v>
      </c>
      <c r="E25">
        <f t="shared" si="6"/>
        <v>0</v>
      </c>
      <c r="F25">
        <f t="shared" si="7"/>
        <v>0</v>
      </c>
      <c r="G25">
        <f t="shared" si="8"/>
        <v>0</v>
      </c>
      <c r="H25">
        <f t="shared" si="8"/>
        <v>0</v>
      </c>
      <c r="I25">
        <f t="shared" si="8"/>
        <v>0</v>
      </c>
      <c r="J25">
        <f t="shared" si="8"/>
        <v>0</v>
      </c>
    </row>
    <row r="26" spans="1:16" x14ac:dyDescent="0.2">
      <c r="A26">
        <v>22</v>
      </c>
      <c r="B26">
        <f t="shared" si="3"/>
        <v>0</v>
      </c>
      <c r="C26">
        <f t="shared" si="4"/>
        <v>0</v>
      </c>
      <c r="D26">
        <f t="shared" si="5"/>
        <v>0</v>
      </c>
      <c r="E26">
        <f t="shared" si="6"/>
        <v>0</v>
      </c>
      <c r="F26">
        <f t="shared" si="7"/>
        <v>0</v>
      </c>
      <c r="G26">
        <f t="shared" si="8"/>
        <v>0</v>
      </c>
      <c r="H26">
        <f t="shared" si="8"/>
        <v>0</v>
      </c>
      <c r="I26">
        <f t="shared" si="8"/>
        <v>0</v>
      </c>
      <c r="J26">
        <f t="shared" si="8"/>
        <v>0</v>
      </c>
      <c r="O26" s="2"/>
    </row>
    <row r="27" spans="1:16" x14ac:dyDescent="0.2">
      <c r="A27">
        <v>27</v>
      </c>
      <c r="B27">
        <f t="shared" si="3"/>
        <v>0</v>
      </c>
      <c r="C27">
        <f t="shared" si="4"/>
        <v>0</v>
      </c>
      <c r="D27">
        <f t="shared" si="5"/>
        <v>0</v>
      </c>
      <c r="E27">
        <f t="shared" si="6"/>
        <v>0</v>
      </c>
      <c r="F27">
        <f t="shared" si="7"/>
        <v>0</v>
      </c>
      <c r="G27">
        <f t="shared" si="8"/>
        <v>0</v>
      </c>
      <c r="H27">
        <f t="shared" si="8"/>
        <v>0</v>
      </c>
      <c r="I27">
        <f t="shared" si="8"/>
        <v>0</v>
      </c>
      <c r="J27">
        <f t="shared" si="8"/>
        <v>0</v>
      </c>
      <c r="M27" s="114"/>
      <c r="O27" s="2"/>
      <c r="P27" s="45"/>
    </row>
    <row r="28" spans="1:16" x14ac:dyDescent="0.2">
      <c r="A28">
        <v>33</v>
      </c>
      <c r="B28">
        <f t="shared" si="3"/>
        <v>0</v>
      </c>
      <c r="C28">
        <f t="shared" si="4"/>
        <v>0</v>
      </c>
      <c r="D28">
        <f t="shared" si="5"/>
        <v>0</v>
      </c>
      <c r="E28">
        <f t="shared" si="6"/>
        <v>0</v>
      </c>
      <c r="F28">
        <f t="shared" si="7"/>
        <v>0</v>
      </c>
      <c r="G28">
        <f t="shared" si="8"/>
        <v>0</v>
      </c>
      <c r="H28">
        <f t="shared" si="8"/>
        <v>0</v>
      </c>
      <c r="I28">
        <f t="shared" si="8"/>
        <v>0</v>
      </c>
      <c r="J28">
        <f t="shared" si="8"/>
        <v>0</v>
      </c>
    </row>
    <row r="29" spans="1:16" x14ac:dyDescent="0.2">
      <c r="A29">
        <v>39</v>
      </c>
      <c r="B29">
        <f t="shared" si="3"/>
        <v>0</v>
      </c>
      <c r="C29">
        <f t="shared" si="4"/>
        <v>0</v>
      </c>
      <c r="D29">
        <f t="shared" si="5"/>
        <v>0</v>
      </c>
      <c r="E29">
        <f t="shared" si="6"/>
        <v>0</v>
      </c>
      <c r="F29">
        <f t="shared" si="7"/>
        <v>0</v>
      </c>
      <c r="G29">
        <f t="shared" si="8"/>
        <v>0</v>
      </c>
      <c r="H29">
        <f t="shared" si="8"/>
        <v>0</v>
      </c>
      <c r="I29">
        <f t="shared" si="8"/>
        <v>0</v>
      </c>
      <c r="J29">
        <f t="shared" si="8"/>
        <v>0</v>
      </c>
    </row>
    <row r="30" spans="1:16" x14ac:dyDescent="0.2">
      <c r="A30">
        <v>47</v>
      </c>
      <c r="B30">
        <f t="shared" si="3"/>
        <v>0</v>
      </c>
      <c r="C30">
        <f t="shared" si="4"/>
        <v>0</v>
      </c>
      <c r="D30">
        <f t="shared" si="5"/>
        <v>0</v>
      </c>
      <c r="E30">
        <f t="shared" si="6"/>
        <v>0</v>
      </c>
      <c r="F30">
        <f t="shared" si="7"/>
        <v>0</v>
      </c>
      <c r="G30">
        <f t="shared" si="8"/>
        <v>0</v>
      </c>
      <c r="H30">
        <f t="shared" si="8"/>
        <v>0</v>
      </c>
      <c r="I30">
        <f t="shared" si="8"/>
        <v>0</v>
      </c>
      <c r="J30">
        <f t="shared" si="8"/>
        <v>0</v>
      </c>
      <c r="M30" s="3" t="s">
        <v>171</v>
      </c>
      <c r="N30" t="str">
        <f>O7/1000&amp;" kΩ"</f>
        <v>0.976 kΩ</v>
      </c>
      <c r="O30">
        <f>O7/1000</f>
        <v>0.97599999999999998</v>
      </c>
      <c r="P30" s="45" t="s">
        <v>242</v>
      </c>
    </row>
    <row r="31" spans="1:16" x14ac:dyDescent="0.2">
      <c r="A31">
        <v>56</v>
      </c>
      <c r="B31">
        <f t="shared" si="3"/>
        <v>0</v>
      </c>
      <c r="C31">
        <f t="shared" si="4"/>
        <v>0</v>
      </c>
      <c r="D31">
        <f t="shared" si="5"/>
        <v>0</v>
      </c>
      <c r="E31">
        <f t="shared" si="6"/>
        <v>0</v>
      </c>
      <c r="F31">
        <f t="shared" si="7"/>
        <v>0</v>
      </c>
      <c r="G31">
        <f t="shared" si="8"/>
        <v>0</v>
      </c>
      <c r="H31">
        <f t="shared" si="8"/>
        <v>0</v>
      </c>
      <c r="I31">
        <f t="shared" si="8"/>
        <v>0</v>
      </c>
      <c r="J31">
        <f t="shared" si="8"/>
        <v>0</v>
      </c>
      <c r="M31" s="3" t="s">
        <v>169</v>
      </c>
      <c r="N31" t="str">
        <f>C4*1000000000&amp;" nF"</f>
        <v>27 nF</v>
      </c>
      <c r="O31">
        <f>C4*1000000000</f>
        <v>27</v>
      </c>
      <c r="P31" s="114" t="s">
        <v>141</v>
      </c>
    </row>
    <row r="32" spans="1:16" x14ac:dyDescent="0.2">
      <c r="A32">
        <v>68</v>
      </c>
      <c r="B32">
        <f t="shared" si="3"/>
        <v>0</v>
      </c>
      <c r="C32">
        <f t="shared" si="4"/>
        <v>0</v>
      </c>
      <c r="D32">
        <f t="shared" si="5"/>
        <v>0</v>
      </c>
      <c r="E32">
        <f t="shared" si="6"/>
        <v>0</v>
      </c>
      <c r="F32">
        <f t="shared" si="7"/>
        <v>0</v>
      </c>
      <c r="G32">
        <f t="shared" si="8"/>
        <v>0</v>
      </c>
      <c r="H32">
        <f t="shared" si="8"/>
        <v>0</v>
      </c>
      <c r="I32">
        <f t="shared" si="8"/>
        <v>0</v>
      </c>
      <c r="J32">
        <f t="shared" si="8"/>
        <v>0</v>
      </c>
      <c r="M32" s="3" t="s">
        <v>170</v>
      </c>
      <c r="N32" t="str">
        <f>D4*1000000000000&amp;" pF"</f>
        <v>150 pF</v>
      </c>
      <c r="O32">
        <f>D4*1000000000000</f>
        <v>150</v>
      </c>
      <c r="P32" s="114" t="s">
        <v>30</v>
      </c>
    </row>
    <row r="33" spans="1:16" x14ac:dyDescent="0.2">
      <c r="A33">
        <v>82</v>
      </c>
      <c r="B33">
        <f t="shared" si="3"/>
        <v>0</v>
      </c>
      <c r="C33">
        <f t="shared" si="4"/>
        <v>0</v>
      </c>
      <c r="D33">
        <f t="shared" si="5"/>
        <v>0</v>
      </c>
      <c r="E33">
        <f t="shared" si="6"/>
        <v>0</v>
      </c>
      <c r="F33">
        <f t="shared" si="7"/>
        <v>0</v>
      </c>
      <c r="G33">
        <f t="shared" si="8"/>
        <v>0</v>
      </c>
      <c r="H33">
        <f t="shared" si="8"/>
        <v>0</v>
      </c>
      <c r="I33">
        <f t="shared" si="8"/>
        <v>0</v>
      </c>
      <c r="J33">
        <f t="shared" si="8"/>
        <v>100</v>
      </c>
      <c r="M33" s="3"/>
      <c r="P33" s="45"/>
    </row>
    <row r="34" spans="1:16" x14ac:dyDescent="0.2">
      <c r="A34">
        <f>A22*10</f>
        <v>100</v>
      </c>
      <c r="B34">
        <f t="shared" si="3"/>
        <v>0</v>
      </c>
      <c r="C34">
        <f t="shared" si="4"/>
        <v>0</v>
      </c>
      <c r="D34">
        <f t="shared" si="5"/>
        <v>0</v>
      </c>
      <c r="E34">
        <f t="shared" si="6"/>
        <v>0</v>
      </c>
      <c r="F34">
        <f t="shared" si="7"/>
        <v>0</v>
      </c>
      <c r="G34">
        <f t="shared" si="8"/>
        <v>0</v>
      </c>
      <c r="H34">
        <f t="shared" si="8"/>
        <v>0</v>
      </c>
      <c r="I34">
        <f t="shared" si="8"/>
        <v>0</v>
      </c>
      <c r="J34">
        <f t="shared" si="8"/>
        <v>0</v>
      </c>
      <c r="M34" s="114" t="s">
        <v>731</v>
      </c>
      <c r="N34" t="str">
        <f>O8/1000&amp;" kΩ"</f>
        <v>1.47 kΩ</v>
      </c>
      <c r="O34">
        <f>O8/1000</f>
        <v>1.47</v>
      </c>
      <c r="P34" s="45" t="s">
        <v>242</v>
      </c>
    </row>
    <row r="35" spans="1:16" x14ac:dyDescent="0.2">
      <c r="A35">
        <f t="shared" ref="A35:A98" si="11">A23*10</f>
        <v>120</v>
      </c>
      <c r="B35">
        <f t="shared" si="3"/>
        <v>0</v>
      </c>
      <c r="C35">
        <f t="shared" si="4"/>
        <v>0</v>
      </c>
      <c r="D35">
        <f t="shared" si="5"/>
        <v>150</v>
      </c>
      <c r="E35">
        <f t="shared" si="6"/>
        <v>0</v>
      </c>
      <c r="F35">
        <f t="shared" si="7"/>
        <v>0</v>
      </c>
      <c r="G35">
        <f t="shared" si="8"/>
        <v>0</v>
      </c>
      <c r="H35">
        <f t="shared" si="8"/>
        <v>0</v>
      </c>
      <c r="I35">
        <f t="shared" si="8"/>
        <v>0</v>
      </c>
      <c r="J35">
        <f t="shared" si="8"/>
        <v>0</v>
      </c>
      <c r="M35" s="114" t="s">
        <v>732</v>
      </c>
      <c r="N35" t="str">
        <f>I4*1000000000&amp;" nF"</f>
        <v>18 nF</v>
      </c>
      <c r="O35">
        <f>I4*1000000000</f>
        <v>18</v>
      </c>
      <c r="P35" s="114" t="s">
        <v>141</v>
      </c>
    </row>
    <row r="36" spans="1:16" x14ac:dyDescent="0.2">
      <c r="A36">
        <f t="shared" si="11"/>
        <v>150</v>
      </c>
      <c r="B36">
        <f t="shared" si="3"/>
        <v>0</v>
      </c>
      <c r="C36">
        <f t="shared" si="4"/>
        <v>0</v>
      </c>
      <c r="D36">
        <f t="shared" si="5"/>
        <v>0</v>
      </c>
      <c r="E36">
        <f t="shared" si="6"/>
        <v>0</v>
      </c>
      <c r="F36">
        <f t="shared" si="7"/>
        <v>0</v>
      </c>
      <c r="G36">
        <f t="shared" si="8"/>
        <v>0</v>
      </c>
      <c r="H36">
        <f t="shared" si="8"/>
        <v>0</v>
      </c>
      <c r="I36">
        <f t="shared" si="8"/>
        <v>0</v>
      </c>
      <c r="J36">
        <f t="shared" si="8"/>
        <v>0</v>
      </c>
      <c r="M36" s="114" t="s">
        <v>733</v>
      </c>
      <c r="N36" t="str">
        <f>J4*1000000000000&amp;" pF"</f>
        <v>100 pF</v>
      </c>
      <c r="O36">
        <f>J4*1000000000000</f>
        <v>100</v>
      </c>
      <c r="P36" s="114" t="s">
        <v>30</v>
      </c>
    </row>
    <row r="37" spans="1:16" x14ac:dyDescent="0.2">
      <c r="A37">
        <f t="shared" si="11"/>
        <v>180</v>
      </c>
      <c r="B37">
        <f t="shared" si="3"/>
        <v>0</v>
      </c>
      <c r="C37">
        <f t="shared" si="4"/>
        <v>0</v>
      </c>
      <c r="D37">
        <f t="shared" si="5"/>
        <v>0</v>
      </c>
      <c r="E37">
        <f t="shared" si="6"/>
        <v>0</v>
      </c>
      <c r="F37">
        <f t="shared" si="7"/>
        <v>0</v>
      </c>
      <c r="G37">
        <f t="shared" si="8"/>
        <v>0</v>
      </c>
      <c r="H37">
        <f t="shared" si="8"/>
        <v>0</v>
      </c>
      <c r="I37">
        <f t="shared" si="8"/>
        <v>0</v>
      </c>
      <c r="J37">
        <f t="shared" si="8"/>
        <v>0</v>
      </c>
    </row>
    <row r="38" spans="1:16" x14ac:dyDescent="0.2">
      <c r="A38">
        <f t="shared" si="11"/>
        <v>220</v>
      </c>
      <c r="B38">
        <f t="shared" si="3"/>
        <v>0</v>
      </c>
      <c r="C38">
        <f t="shared" si="4"/>
        <v>0</v>
      </c>
      <c r="D38">
        <f t="shared" si="5"/>
        <v>0</v>
      </c>
      <c r="E38">
        <f t="shared" si="6"/>
        <v>0</v>
      </c>
      <c r="F38">
        <f t="shared" si="7"/>
        <v>0</v>
      </c>
      <c r="G38">
        <f t="shared" si="8"/>
        <v>0</v>
      </c>
      <c r="H38">
        <f t="shared" si="8"/>
        <v>0</v>
      </c>
      <c r="I38">
        <f t="shared" si="8"/>
        <v>0</v>
      </c>
      <c r="J38">
        <f t="shared" si="8"/>
        <v>0</v>
      </c>
    </row>
    <row r="39" spans="1:16" x14ac:dyDescent="0.2">
      <c r="A39">
        <f t="shared" si="11"/>
        <v>270</v>
      </c>
      <c r="B39">
        <f t="shared" si="3"/>
        <v>0</v>
      </c>
      <c r="C39">
        <f t="shared" ref="C39:C70" si="12">IF(IF((C$3*10^12-$A40)*(C$3*10^12-$A39)*-1&lt;0,0,1)*IF(ABS(C$3*10^12-$A40)&gt;(C$3*10^12-$A39),$A39,$A40)=C40,0,IF((C$3*10^12-$A40)*(C$3*10^12-$A39)*-1&lt;0,0,1)*IF(ABS(C$3*10^12-$A40)&gt;(C$3*10^12-$A39),$A39,$A40))</f>
        <v>0</v>
      </c>
      <c r="D39">
        <f t="shared" si="5"/>
        <v>0</v>
      </c>
      <c r="E39">
        <f t="shared" si="6"/>
        <v>0</v>
      </c>
      <c r="F39">
        <f t="shared" si="7"/>
        <v>0</v>
      </c>
      <c r="G39">
        <f t="shared" si="8"/>
        <v>0</v>
      </c>
      <c r="H39">
        <f t="shared" si="8"/>
        <v>0</v>
      </c>
      <c r="I39">
        <f t="shared" si="8"/>
        <v>0</v>
      </c>
      <c r="J39">
        <f t="shared" si="8"/>
        <v>0</v>
      </c>
    </row>
    <row r="40" spans="1:16" x14ac:dyDescent="0.2">
      <c r="A40">
        <f t="shared" si="11"/>
        <v>330</v>
      </c>
      <c r="B40">
        <f t="shared" si="3"/>
        <v>0</v>
      </c>
      <c r="C40">
        <f t="shared" si="12"/>
        <v>0</v>
      </c>
      <c r="D40">
        <f t="shared" si="5"/>
        <v>0</v>
      </c>
      <c r="E40">
        <f t="shared" si="6"/>
        <v>0</v>
      </c>
      <c r="F40">
        <f t="shared" si="7"/>
        <v>0</v>
      </c>
      <c r="G40">
        <f t="shared" si="8"/>
        <v>0</v>
      </c>
      <c r="H40">
        <f t="shared" si="8"/>
        <v>0</v>
      </c>
      <c r="I40">
        <f t="shared" si="8"/>
        <v>0</v>
      </c>
      <c r="J40">
        <f t="shared" si="8"/>
        <v>0</v>
      </c>
    </row>
    <row r="41" spans="1:16" x14ac:dyDescent="0.2">
      <c r="A41">
        <f t="shared" si="11"/>
        <v>390</v>
      </c>
      <c r="B41">
        <f t="shared" si="3"/>
        <v>0</v>
      </c>
      <c r="C41">
        <f t="shared" si="12"/>
        <v>0</v>
      </c>
      <c r="D41">
        <f t="shared" si="5"/>
        <v>0</v>
      </c>
      <c r="E41">
        <f t="shared" si="6"/>
        <v>0</v>
      </c>
      <c r="F41">
        <f t="shared" si="7"/>
        <v>0</v>
      </c>
      <c r="G41">
        <f t="shared" si="8"/>
        <v>0</v>
      </c>
      <c r="H41">
        <f t="shared" si="8"/>
        <v>0</v>
      </c>
      <c r="I41">
        <f t="shared" si="8"/>
        <v>0</v>
      </c>
      <c r="J41">
        <f t="shared" si="8"/>
        <v>0</v>
      </c>
    </row>
    <row r="42" spans="1:16" x14ac:dyDescent="0.2">
      <c r="A42">
        <f t="shared" si="11"/>
        <v>470</v>
      </c>
      <c r="B42">
        <f t="shared" si="3"/>
        <v>0</v>
      </c>
      <c r="C42">
        <f t="shared" si="12"/>
        <v>0</v>
      </c>
      <c r="D42">
        <f t="shared" si="5"/>
        <v>0</v>
      </c>
      <c r="E42">
        <f t="shared" si="6"/>
        <v>0</v>
      </c>
      <c r="F42">
        <f t="shared" si="7"/>
        <v>0</v>
      </c>
      <c r="G42">
        <f t="shared" si="8"/>
        <v>0</v>
      </c>
      <c r="H42">
        <f t="shared" si="8"/>
        <v>0</v>
      </c>
      <c r="I42">
        <f t="shared" si="8"/>
        <v>0</v>
      </c>
      <c r="J42">
        <f t="shared" si="8"/>
        <v>0</v>
      </c>
    </row>
    <row r="43" spans="1:16" x14ac:dyDescent="0.2">
      <c r="A43">
        <f t="shared" si="11"/>
        <v>560</v>
      </c>
      <c r="B43">
        <f t="shared" si="3"/>
        <v>0</v>
      </c>
      <c r="C43">
        <f t="shared" si="12"/>
        <v>0</v>
      </c>
      <c r="D43">
        <f t="shared" si="5"/>
        <v>0</v>
      </c>
      <c r="E43">
        <f t="shared" si="6"/>
        <v>0</v>
      </c>
      <c r="F43">
        <f t="shared" si="7"/>
        <v>0</v>
      </c>
      <c r="G43">
        <f t="shared" si="8"/>
        <v>0</v>
      </c>
      <c r="H43">
        <f t="shared" si="8"/>
        <v>0</v>
      </c>
      <c r="I43">
        <f t="shared" si="8"/>
        <v>0</v>
      </c>
      <c r="J43">
        <f t="shared" si="8"/>
        <v>0</v>
      </c>
    </row>
    <row r="44" spans="1:16" x14ac:dyDescent="0.2">
      <c r="A44">
        <f t="shared" si="11"/>
        <v>680</v>
      </c>
      <c r="B44">
        <f t="shared" si="3"/>
        <v>0</v>
      </c>
      <c r="C44">
        <f t="shared" si="12"/>
        <v>0</v>
      </c>
      <c r="D44">
        <f t="shared" si="5"/>
        <v>0</v>
      </c>
      <c r="E44">
        <f t="shared" si="6"/>
        <v>0</v>
      </c>
      <c r="F44">
        <f t="shared" si="7"/>
        <v>0</v>
      </c>
      <c r="G44">
        <f t="shared" si="8"/>
        <v>0</v>
      </c>
      <c r="H44">
        <f t="shared" si="8"/>
        <v>0</v>
      </c>
      <c r="I44">
        <f t="shared" si="8"/>
        <v>0</v>
      </c>
      <c r="J44">
        <f t="shared" si="8"/>
        <v>0</v>
      </c>
    </row>
    <row r="45" spans="1:16" x14ac:dyDescent="0.2">
      <c r="A45">
        <f>A33*10</f>
        <v>820</v>
      </c>
      <c r="B45">
        <f t="shared" si="3"/>
        <v>0</v>
      </c>
      <c r="C45">
        <f t="shared" si="12"/>
        <v>0</v>
      </c>
      <c r="D45">
        <f t="shared" si="5"/>
        <v>0</v>
      </c>
      <c r="E45">
        <f t="shared" si="6"/>
        <v>0</v>
      </c>
      <c r="F45">
        <f t="shared" si="7"/>
        <v>0</v>
      </c>
      <c r="G45">
        <f t="shared" si="8"/>
        <v>0</v>
      </c>
      <c r="H45">
        <f t="shared" si="8"/>
        <v>0</v>
      </c>
      <c r="I45">
        <f t="shared" si="8"/>
        <v>0</v>
      </c>
      <c r="J45">
        <f t="shared" si="8"/>
        <v>0</v>
      </c>
    </row>
    <row r="46" spans="1:16" x14ac:dyDescent="0.2">
      <c r="A46">
        <f t="shared" si="11"/>
        <v>1000</v>
      </c>
      <c r="B46">
        <f t="shared" si="3"/>
        <v>0</v>
      </c>
      <c r="C46">
        <f t="shared" si="12"/>
        <v>0</v>
      </c>
      <c r="D46">
        <f t="shared" si="5"/>
        <v>0</v>
      </c>
      <c r="E46">
        <f t="shared" si="6"/>
        <v>0</v>
      </c>
      <c r="F46">
        <f t="shared" si="7"/>
        <v>0</v>
      </c>
      <c r="G46">
        <f t="shared" si="8"/>
        <v>0</v>
      </c>
      <c r="H46">
        <f t="shared" si="8"/>
        <v>0</v>
      </c>
      <c r="I46">
        <f t="shared" si="8"/>
        <v>0</v>
      </c>
      <c r="J46">
        <f t="shared" si="8"/>
        <v>0</v>
      </c>
    </row>
    <row r="47" spans="1:16" x14ac:dyDescent="0.2">
      <c r="A47">
        <f t="shared" si="11"/>
        <v>1200</v>
      </c>
      <c r="B47">
        <f t="shared" si="3"/>
        <v>0</v>
      </c>
      <c r="C47">
        <f t="shared" si="12"/>
        <v>0</v>
      </c>
      <c r="D47">
        <f t="shared" si="5"/>
        <v>0</v>
      </c>
      <c r="E47">
        <f t="shared" si="6"/>
        <v>0</v>
      </c>
      <c r="F47">
        <f t="shared" si="7"/>
        <v>0</v>
      </c>
      <c r="G47">
        <f t="shared" si="8"/>
        <v>0</v>
      </c>
      <c r="H47">
        <f t="shared" si="8"/>
        <v>0</v>
      </c>
      <c r="I47">
        <f t="shared" si="8"/>
        <v>0</v>
      </c>
      <c r="J47">
        <f t="shared" si="8"/>
        <v>0</v>
      </c>
    </row>
    <row r="48" spans="1:16" x14ac:dyDescent="0.2">
      <c r="A48">
        <f t="shared" si="11"/>
        <v>1500</v>
      </c>
      <c r="B48">
        <f t="shared" si="3"/>
        <v>0</v>
      </c>
      <c r="C48">
        <f t="shared" si="12"/>
        <v>0</v>
      </c>
      <c r="D48">
        <f t="shared" si="5"/>
        <v>0</v>
      </c>
      <c r="E48">
        <f t="shared" si="6"/>
        <v>0</v>
      </c>
      <c r="F48">
        <f t="shared" si="7"/>
        <v>0</v>
      </c>
      <c r="G48">
        <f t="shared" si="8"/>
        <v>0</v>
      </c>
      <c r="H48">
        <f t="shared" si="8"/>
        <v>0</v>
      </c>
      <c r="I48">
        <f t="shared" si="8"/>
        <v>0</v>
      </c>
      <c r="J48">
        <f t="shared" si="8"/>
        <v>0</v>
      </c>
    </row>
    <row r="49" spans="1:10" x14ac:dyDescent="0.2">
      <c r="A49">
        <f t="shared" si="11"/>
        <v>1800</v>
      </c>
      <c r="B49">
        <f t="shared" si="3"/>
        <v>0</v>
      </c>
      <c r="C49">
        <f t="shared" si="12"/>
        <v>0</v>
      </c>
      <c r="D49">
        <f t="shared" si="5"/>
        <v>0</v>
      </c>
      <c r="E49">
        <f t="shared" si="6"/>
        <v>0</v>
      </c>
      <c r="F49">
        <f t="shared" si="7"/>
        <v>0</v>
      </c>
      <c r="G49">
        <f t="shared" si="8"/>
        <v>0</v>
      </c>
      <c r="H49">
        <f t="shared" si="8"/>
        <v>0</v>
      </c>
      <c r="I49">
        <f t="shared" si="8"/>
        <v>0</v>
      </c>
      <c r="J49">
        <f t="shared" si="8"/>
        <v>0</v>
      </c>
    </row>
    <row r="50" spans="1:10" x14ac:dyDescent="0.2">
      <c r="A50">
        <f t="shared" si="11"/>
        <v>2200</v>
      </c>
      <c r="B50">
        <f t="shared" si="3"/>
        <v>0</v>
      </c>
      <c r="C50">
        <f t="shared" si="12"/>
        <v>0</v>
      </c>
      <c r="D50">
        <f t="shared" si="5"/>
        <v>0</v>
      </c>
      <c r="E50">
        <f t="shared" si="6"/>
        <v>0</v>
      </c>
      <c r="F50">
        <f t="shared" si="7"/>
        <v>0</v>
      </c>
      <c r="G50">
        <f t="shared" si="8"/>
        <v>0</v>
      </c>
      <c r="H50">
        <f t="shared" si="8"/>
        <v>0</v>
      </c>
      <c r="I50">
        <f t="shared" si="8"/>
        <v>0</v>
      </c>
      <c r="J50">
        <f t="shared" si="8"/>
        <v>0</v>
      </c>
    </row>
    <row r="51" spans="1:10" x14ac:dyDescent="0.2">
      <c r="A51">
        <f t="shared" si="11"/>
        <v>2700</v>
      </c>
      <c r="B51">
        <f t="shared" si="3"/>
        <v>0</v>
      </c>
      <c r="C51">
        <f t="shared" si="12"/>
        <v>0</v>
      </c>
      <c r="D51">
        <f t="shared" si="5"/>
        <v>0</v>
      </c>
      <c r="E51">
        <f t="shared" si="6"/>
        <v>0</v>
      </c>
      <c r="F51">
        <f t="shared" si="7"/>
        <v>0</v>
      </c>
      <c r="G51">
        <f t="shared" si="8"/>
        <v>0</v>
      </c>
      <c r="H51">
        <f t="shared" si="8"/>
        <v>0</v>
      </c>
      <c r="I51">
        <f t="shared" si="8"/>
        <v>0</v>
      </c>
      <c r="J51">
        <f t="shared" si="8"/>
        <v>0</v>
      </c>
    </row>
    <row r="52" spans="1:10" x14ac:dyDescent="0.2">
      <c r="A52">
        <f t="shared" si="11"/>
        <v>3300</v>
      </c>
      <c r="B52">
        <f t="shared" si="3"/>
        <v>0</v>
      </c>
      <c r="C52">
        <f t="shared" si="12"/>
        <v>0</v>
      </c>
      <c r="D52">
        <f t="shared" si="5"/>
        <v>0</v>
      </c>
      <c r="E52">
        <f t="shared" si="6"/>
        <v>0</v>
      </c>
      <c r="F52">
        <f t="shared" si="7"/>
        <v>0</v>
      </c>
      <c r="G52">
        <f t="shared" si="8"/>
        <v>0</v>
      </c>
      <c r="H52">
        <f t="shared" si="8"/>
        <v>0</v>
      </c>
      <c r="I52">
        <f t="shared" si="8"/>
        <v>0</v>
      </c>
      <c r="J52">
        <f t="shared" si="8"/>
        <v>0</v>
      </c>
    </row>
    <row r="53" spans="1:10" x14ac:dyDescent="0.2">
      <c r="A53">
        <f t="shared" si="11"/>
        <v>3900</v>
      </c>
      <c r="B53">
        <f t="shared" si="3"/>
        <v>0</v>
      </c>
      <c r="C53">
        <f t="shared" si="12"/>
        <v>0</v>
      </c>
      <c r="D53">
        <f t="shared" si="5"/>
        <v>0</v>
      </c>
      <c r="E53">
        <f t="shared" si="6"/>
        <v>0</v>
      </c>
      <c r="F53">
        <f t="shared" si="7"/>
        <v>0</v>
      </c>
      <c r="G53">
        <f t="shared" si="8"/>
        <v>0</v>
      </c>
      <c r="H53">
        <f t="shared" si="8"/>
        <v>0</v>
      </c>
      <c r="I53">
        <f t="shared" si="8"/>
        <v>0</v>
      </c>
      <c r="J53">
        <f t="shared" si="8"/>
        <v>0</v>
      </c>
    </row>
    <row r="54" spans="1:10" x14ac:dyDescent="0.2">
      <c r="A54">
        <f t="shared" si="11"/>
        <v>4700</v>
      </c>
      <c r="B54">
        <f t="shared" si="3"/>
        <v>0</v>
      </c>
      <c r="C54">
        <f t="shared" si="12"/>
        <v>0</v>
      </c>
      <c r="D54">
        <f t="shared" si="5"/>
        <v>0</v>
      </c>
      <c r="E54">
        <f t="shared" si="6"/>
        <v>0</v>
      </c>
      <c r="F54">
        <f t="shared" si="7"/>
        <v>0</v>
      </c>
      <c r="G54">
        <f t="shared" si="8"/>
        <v>0</v>
      </c>
      <c r="H54">
        <f t="shared" si="8"/>
        <v>0</v>
      </c>
      <c r="I54">
        <f t="shared" si="8"/>
        <v>0</v>
      </c>
      <c r="J54">
        <f t="shared" si="8"/>
        <v>0</v>
      </c>
    </row>
    <row r="55" spans="1:10" x14ac:dyDescent="0.2">
      <c r="A55">
        <f t="shared" si="11"/>
        <v>5600</v>
      </c>
      <c r="B55">
        <f t="shared" si="3"/>
        <v>0</v>
      </c>
      <c r="C55">
        <f t="shared" si="12"/>
        <v>0</v>
      </c>
      <c r="D55">
        <f t="shared" si="5"/>
        <v>0</v>
      </c>
      <c r="E55">
        <f t="shared" si="6"/>
        <v>0</v>
      </c>
      <c r="F55">
        <f t="shared" si="7"/>
        <v>0</v>
      </c>
      <c r="G55">
        <f t="shared" si="8"/>
        <v>0</v>
      </c>
      <c r="H55">
        <f t="shared" si="8"/>
        <v>0</v>
      </c>
      <c r="I55">
        <f t="shared" si="8"/>
        <v>0</v>
      </c>
      <c r="J55">
        <f t="shared" si="8"/>
        <v>0</v>
      </c>
    </row>
    <row r="56" spans="1:10" x14ac:dyDescent="0.2">
      <c r="A56">
        <f t="shared" si="11"/>
        <v>6800</v>
      </c>
      <c r="B56">
        <f t="shared" si="3"/>
        <v>0</v>
      </c>
      <c r="C56">
        <f t="shared" si="12"/>
        <v>0</v>
      </c>
      <c r="D56">
        <f t="shared" si="5"/>
        <v>0</v>
      </c>
      <c r="E56">
        <f t="shared" si="6"/>
        <v>0</v>
      </c>
      <c r="F56">
        <f t="shared" si="7"/>
        <v>0</v>
      </c>
      <c r="G56">
        <f t="shared" si="8"/>
        <v>0</v>
      </c>
      <c r="H56">
        <f t="shared" si="8"/>
        <v>0</v>
      </c>
      <c r="I56">
        <f t="shared" si="8"/>
        <v>0</v>
      </c>
      <c r="J56">
        <f t="shared" si="8"/>
        <v>0</v>
      </c>
    </row>
    <row r="57" spans="1:10" x14ac:dyDescent="0.2">
      <c r="A57">
        <f t="shared" si="11"/>
        <v>8200</v>
      </c>
      <c r="B57">
        <f t="shared" si="3"/>
        <v>0</v>
      </c>
      <c r="C57">
        <f t="shared" si="12"/>
        <v>0</v>
      </c>
      <c r="D57">
        <f t="shared" si="5"/>
        <v>0</v>
      </c>
      <c r="E57">
        <f t="shared" si="6"/>
        <v>0</v>
      </c>
      <c r="F57">
        <f t="shared" si="7"/>
        <v>0</v>
      </c>
      <c r="G57">
        <f t="shared" si="8"/>
        <v>0</v>
      </c>
      <c r="H57">
        <f t="shared" si="8"/>
        <v>10000</v>
      </c>
      <c r="I57">
        <f t="shared" si="8"/>
        <v>0</v>
      </c>
      <c r="J57">
        <f t="shared" si="8"/>
        <v>0</v>
      </c>
    </row>
    <row r="58" spans="1:10" x14ac:dyDescent="0.2">
      <c r="A58">
        <f t="shared" si="11"/>
        <v>10000</v>
      </c>
      <c r="B58">
        <f t="shared" si="3"/>
        <v>0</v>
      </c>
      <c r="C58">
        <f t="shared" si="12"/>
        <v>0</v>
      </c>
      <c r="D58">
        <f t="shared" si="5"/>
        <v>0</v>
      </c>
      <c r="E58">
        <f t="shared" si="6"/>
        <v>0</v>
      </c>
      <c r="F58">
        <f t="shared" si="7"/>
        <v>0</v>
      </c>
      <c r="G58">
        <f t="shared" si="8"/>
        <v>0</v>
      </c>
      <c r="H58">
        <f t="shared" si="8"/>
        <v>0</v>
      </c>
      <c r="I58">
        <f t="shared" si="8"/>
        <v>0</v>
      </c>
      <c r="J58">
        <f t="shared" si="8"/>
        <v>0</v>
      </c>
    </row>
    <row r="59" spans="1:10" x14ac:dyDescent="0.2">
      <c r="A59">
        <f t="shared" si="11"/>
        <v>12000</v>
      </c>
      <c r="B59">
        <f t="shared" si="3"/>
        <v>0</v>
      </c>
      <c r="C59">
        <f t="shared" si="12"/>
        <v>0</v>
      </c>
      <c r="D59">
        <f t="shared" si="5"/>
        <v>0</v>
      </c>
      <c r="E59">
        <f t="shared" si="6"/>
        <v>0</v>
      </c>
      <c r="F59">
        <f t="shared" si="7"/>
        <v>0</v>
      </c>
      <c r="G59">
        <f t="shared" si="8"/>
        <v>0</v>
      </c>
      <c r="H59">
        <f t="shared" si="8"/>
        <v>0</v>
      </c>
      <c r="I59">
        <f t="shared" si="8"/>
        <v>0</v>
      </c>
      <c r="J59">
        <f t="shared" si="8"/>
        <v>0</v>
      </c>
    </row>
    <row r="60" spans="1:10" x14ac:dyDescent="0.2">
      <c r="A60">
        <f t="shared" si="11"/>
        <v>15000</v>
      </c>
      <c r="B60">
        <f t="shared" si="3"/>
        <v>0</v>
      </c>
      <c r="C60">
        <f t="shared" si="12"/>
        <v>0</v>
      </c>
      <c r="D60">
        <f t="shared" si="5"/>
        <v>0</v>
      </c>
      <c r="E60">
        <f t="shared" si="6"/>
        <v>0</v>
      </c>
      <c r="F60">
        <f t="shared" si="7"/>
        <v>0</v>
      </c>
      <c r="G60">
        <f t="shared" si="8"/>
        <v>0</v>
      </c>
      <c r="H60">
        <f t="shared" si="8"/>
        <v>0</v>
      </c>
      <c r="I60">
        <f t="shared" si="8"/>
        <v>18000</v>
      </c>
      <c r="J60">
        <f t="shared" si="8"/>
        <v>0</v>
      </c>
    </row>
    <row r="61" spans="1:10" x14ac:dyDescent="0.2">
      <c r="A61">
        <f t="shared" si="11"/>
        <v>18000</v>
      </c>
      <c r="B61">
        <f t="shared" si="3"/>
        <v>0</v>
      </c>
      <c r="C61">
        <f t="shared" si="12"/>
        <v>0</v>
      </c>
      <c r="D61">
        <f t="shared" si="5"/>
        <v>0</v>
      </c>
      <c r="E61">
        <f t="shared" si="6"/>
        <v>0</v>
      </c>
      <c r="F61">
        <f t="shared" si="7"/>
        <v>0</v>
      </c>
      <c r="G61">
        <f t="shared" si="8"/>
        <v>0</v>
      </c>
      <c r="H61">
        <f t="shared" si="8"/>
        <v>0</v>
      </c>
      <c r="I61">
        <f t="shared" si="8"/>
        <v>0</v>
      </c>
      <c r="J61">
        <f t="shared" si="8"/>
        <v>0</v>
      </c>
    </row>
    <row r="62" spans="1:10" x14ac:dyDescent="0.2">
      <c r="A62">
        <f t="shared" si="11"/>
        <v>22000</v>
      </c>
      <c r="B62">
        <f t="shared" si="3"/>
        <v>0</v>
      </c>
      <c r="C62">
        <f t="shared" si="12"/>
        <v>0</v>
      </c>
      <c r="D62">
        <f t="shared" si="5"/>
        <v>0</v>
      </c>
      <c r="E62">
        <f t="shared" si="6"/>
        <v>0</v>
      </c>
      <c r="F62">
        <f t="shared" si="7"/>
        <v>0</v>
      </c>
      <c r="G62">
        <f t="shared" si="8"/>
        <v>0</v>
      </c>
      <c r="H62">
        <f t="shared" si="8"/>
        <v>0</v>
      </c>
      <c r="I62">
        <f t="shared" si="8"/>
        <v>0</v>
      </c>
      <c r="J62">
        <f t="shared" si="8"/>
        <v>0</v>
      </c>
    </row>
    <row r="63" spans="1:10" x14ac:dyDescent="0.2">
      <c r="A63">
        <f t="shared" si="11"/>
        <v>27000</v>
      </c>
      <c r="B63">
        <f t="shared" si="3"/>
        <v>0</v>
      </c>
      <c r="C63">
        <f t="shared" si="12"/>
        <v>27000</v>
      </c>
      <c r="D63">
        <f t="shared" si="5"/>
        <v>0</v>
      </c>
      <c r="E63">
        <f t="shared" si="6"/>
        <v>0</v>
      </c>
      <c r="F63">
        <f t="shared" si="7"/>
        <v>0</v>
      </c>
      <c r="G63">
        <f t="shared" si="8"/>
        <v>0</v>
      </c>
      <c r="H63">
        <f t="shared" si="8"/>
        <v>0</v>
      </c>
      <c r="I63">
        <f t="shared" si="8"/>
        <v>0</v>
      </c>
      <c r="J63">
        <f t="shared" si="8"/>
        <v>0</v>
      </c>
    </row>
    <row r="64" spans="1:10" x14ac:dyDescent="0.2">
      <c r="A64">
        <f t="shared" si="11"/>
        <v>33000</v>
      </c>
      <c r="B64">
        <f t="shared" si="3"/>
        <v>0</v>
      </c>
      <c r="C64">
        <f t="shared" si="12"/>
        <v>0</v>
      </c>
      <c r="D64">
        <f t="shared" si="5"/>
        <v>0</v>
      </c>
      <c r="E64">
        <f t="shared" si="6"/>
        <v>0</v>
      </c>
      <c r="F64">
        <f t="shared" si="7"/>
        <v>0</v>
      </c>
      <c r="G64">
        <f t="shared" si="8"/>
        <v>0</v>
      </c>
      <c r="H64">
        <f t="shared" si="8"/>
        <v>0</v>
      </c>
      <c r="I64">
        <f t="shared" si="8"/>
        <v>0</v>
      </c>
      <c r="J64">
        <f t="shared" si="8"/>
        <v>0</v>
      </c>
    </row>
    <row r="65" spans="1:10" x14ac:dyDescent="0.2">
      <c r="A65">
        <f t="shared" si="11"/>
        <v>39000</v>
      </c>
      <c r="B65">
        <f t="shared" si="3"/>
        <v>0</v>
      </c>
      <c r="C65">
        <f t="shared" si="12"/>
        <v>0</v>
      </c>
      <c r="D65">
        <f t="shared" si="5"/>
        <v>0</v>
      </c>
      <c r="E65">
        <f t="shared" si="6"/>
        <v>0</v>
      </c>
      <c r="F65">
        <f t="shared" si="7"/>
        <v>0</v>
      </c>
      <c r="G65">
        <f t="shared" si="8"/>
        <v>0</v>
      </c>
      <c r="H65">
        <f t="shared" si="8"/>
        <v>0</v>
      </c>
      <c r="I65">
        <f t="shared" si="8"/>
        <v>0</v>
      </c>
      <c r="J65">
        <f t="shared" si="8"/>
        <v>0</v>
      </c>
    </row>
    <row r="66" spans="1:10" x14ac:dyDescent="0.2">
      <c r="A66">
        <f t="shared" si="11"/>
        <v>47000</v>
      </c>
      <c r="B66">
        <f t="shared" si="3"/>
        <v>0</v>
      </c>
      <c r="C66">
        <f t="shared" si="12"/>
        <v>0</v>
      </c>
      <c r="D66">
        <f t="shared" si="5"/>
        <v>0</v>
      </c>
      <c r="E66">
        <f t="shared" si="6"/>
        <v>0</v>
      </c>
      <c r="F66">
        <f t="shared" si="7"/>
        <v>0</v>
      </c>
      <c r="G66">
        <f t="shared" si="8"/>
        <v>0</v>
      </c>
      <c r="H66">
        <f t="shared" si="8"/>
        <v>0</v>
      </c>
      <c r="I66">
        <f t="shared" si="8"/>
        <v>0</v>
      </c>
      <c r="J66">
        <f t="shared" si="8"/>
        <v>0</v>
      </c>
    </row>
    <row r="67" spans="1:10" x14ac:dyDescent="0.2">
      <c r="A67">
        <f t="shared" si="11"/>
        <v>56000</v>
      </c>
      <c r="B67">
        <f t="shared" si="3"/>
        <v>0</v>
      </c>
      <c r="C67">
        <f t="shared" si="12"/>
        <v>0</v>
      </c>
      <c r="D67">
        <f t="shared" si="5"/>
        <v>0</v>
      </c>
      <c r="E67">
        <f t="shared" si="6"/>
        <v>0</v>
      </c>
      <c r="F67">
        <f t="shared" si="7"/>
        <v>0</v>
      </c>
      <c r="G67">
        <f t="shared" si="8"/>
        <v>0</v>
      </c>
      <c r="H67">
        <f t="shared" si="8"/>
        <v>0</v>
      </c>
      <c r="I67">
        <f t="shared" si="8"/>
        <v>0</v>
      </c>
      <c r="J67">
        <f t="shared" si="8"/>
        <v>0</v>
      </c>
    </row>
    <row r="68" spans="1:10" x14ac:dyDescent="0.2">
      <c r="A68">
        <f t="shared" si="11"/>
        <v>68000</v>
      </c>
      <c r="B68">
        <f t="shared" si="3"/>
        <v>0</v>
      </c>
      <c r="C68">
        <f t="shared" si="12"/>
        <v>0</v>
      </c>
      <c r="D68">
        <f t="shared" si="5"/>
        <v>0</v>
      </c>
      <c r="E68">
        <f t="shared" si="6"/>
        <v>0</v>
      </c>
      <c r="F68">
        <f t="shared" si="7"/>
        <v>0</v>
      </c>
      <c r="G68">
        <f t="shared" si="8"/>
        <v>0</v>
      </c>
      <c r="H68">
        <f t="shared" si="8"/>
        <v>0</v>
      </c>
      <c r="I68">
        <f t="shared" si="8"/>
        <v>0</v>
      </c>
      <c r="J68">
        <f t="shared" si="8"/>
        <v>0</v>
      </c>
    </row>
    <row r="69" spans="1:10" x14ac:dyDescent="0.2">
      <c r="A69">
        <f t="shared" si="11"/>
        <v>82000</v>
      </c>
      <c r="B69">
        <f t="shared" si="3"/>
        <v>0</v>
      </c>
      <c r="C69">
        <f t="shared" si="12"/>
        <v>0</v>
      </c>
      <c r="D69">
        <f t="shared" si="5"/>
        <v>0</v>
      </c>
      <c r="E69">
        <f t="shared" si="6"/>
        <v>0</v>
      </c>
      <c r="F69">
        <f t="shared" si="7"/>
        <v>0</v>
      </c>
      <c r="G69">
        <f t="shared" si="8"/>
        <v>0</v>
      </c>
      <c r="H69">
        <f t="shared" si="8"/>
        <v>0</v>
      </c>
      <c r="I69">
        <f t="shared" si="8"/>
        <v>0</v>
      </c>
      <c r="J69">
        <f t="shared" ref="J69:J132" si="13">IF(IF((J$3*10^12-$A70)*(J$3*10^12-$A69)*-1&lt;0,0,1)*IF(ABS(J$3*10^12-$A70)&gt;(J$3*10^12-$A69),$A69,$A70)=J70,0,IF((J$3*10^12-$A70)*(J$3*10^12-$A69)*-1&lt;0,0,1)*IF(ABS(J$3*10^12-$A70)&gt;(J$3*10^12-$A69),$A69,$A70))</f>
        <v>0</v>
      </c>
    </row>
    <row r="70" spans="1:10" x14ac:dyDescent="0.2">
      <c r="A70">
        <f t="shared" si="11"/>
        <v>100000</v>
      </c>
      <c r="B70">
        <f t="shared" si="3"/>
        <v>100000</v>
      </c>
      <c r="C70">
        <f t="shared" si="12"/>
        <v>0</v>
      </c>
      <c r="D70">
        <f t="shared" ref="D70:I70" si="14">IF(IF((D$3*10^12-$A71)*(D$3*10^12-$A70)*-1&lt;0,0,1)*IF(ABS(D$3*10^12-$A71)&gt;(D$3*10^12-$A70),$A70,$A71)=D71,0,IF((D$3*10^12-$A71)*(D$3*10^12-$A70)*-1&lt;0,0,1)*IF(ABS(D$3*10^12-$A71)&gt;(D$3*10^12-$A70),$A70,$A71))</f>
        <v>0</v>
      </c>
      <c r="E70">
        <f t="shared" si="14"/>
        <v>0</v>
      </c>
      <c r="F70">
        <f t="shared" si="14"/>
        <v>0</v>
      </c>
      <c r="G70">
        <f t="shared" si="14"/>
        <v>0</v>
      </c>
      <c r="H70">
        <f t="shared" si="14"/>
        <v>0</v>
      </c>
      <c r="I70">
        <f t="shared" si="14"/>
        <v>0</v>
      </c>
      <c r="J70">
        <f t="shared" si="13"/>
        <v>0</v>
      </c>
    </row>
    <row r="71" spans="1:10" x14ac:dyDescent="0.2">
      <c r="A71">
        <f t="shared" si="11"/>
        <v>120000</v>
      </c>
      <c r="B71">
        <f t="shared" ref="B71:B134" si="15">IF(IF((B$3*10^12-$A72)*(B$3*10^12-$A71)*-1&lt;0,0,1)*IF(ABS(B$3*10^12-$A72)&gt;(B$3*10^12-$A71),$A71,$A72)=B72,0,IF((B$3*10^12-$A72)*(B$3*10^12-$A71)*-1&lt;0,0,1)*IF(ABS(B$3*10^12-$A72)&gt;(B$3*10^12-$A71),$A71,$A72))</f>
        <v>0</v>
      </c>
      <c r="C71">
        <f t="shared" ref="C71:E134" si="16">IF(IF((C$3*10^12-$A72)*(C$3*10^12-$A71)*-1&lt;0,0,1)*IF(ABS(C$3*10^12-$A72)&gt;(C$3*10^12-$A71),$A71,$A72)=C72,0,IF((C$3*10^12-$A72)*(C$3*10^12-$A71)*-1&lt;0,0,1)*IF(ABS(C$3*10^12-$A72)&gt;(C$3*10^12-$A71),$A71,$A72))</f>
        <v>0</v>
      </c>
      <c r="D71">
        <f t="shared" si="16"/>
        <v>0</v>
      </c>
      <c r="E71">
        <f t="shared" si="16"/>
        <v>0</v>
      </c>
      <c r="F71">
        <f t="shared" ref="F71:F102" si="17">IF(IF((F$3*10^12-$A72)*(F$3*10^12-$A71)*-1&lt;0,0,1)*IF(ABS(F$3*10^12-$A72)&gt;(F$3*10^12-$A71),$A71,$A72)=F72,0,IF((F$3*10^12-$A72)*(F$3*10^12-$A71)*-1&lt;0,0,1)*IF(ABS(F$3*10^12-$A72)&gt;(F$3*10^12-$A71),$A71,$A72))</f>
        <v>0</v>
      </c>
      <c r="G71">
        <f t="shared" ref="G71:G102" si="18">IF(IF((G$3*10^12-$A72)*(G$3*10^12-$A71)*-1&lt;0,0,1)*IF(ABS(G$3*10^12-$A72)&gt;(G$3*10^12-$A71),$A71,$A72)=G72,0,IF((G$3*10^12-$A72)*(G$3*10^12-$A71)*-1&lt;0,0,1)*IF(ABS(G$3*10^12-$A72)&gt;(G$3*10^12-$A71),$A71,$A72))</f>
        <v>0</v>
      </c>
      <c r="H71">
        <f t="shared" ref="H71:H102" si="19">IF(IF((H$3*10^12-$A72)*(H$3*10^12-$A71)*-1&lt;0,0,1)*IF(ABS(H$3*10^12-$A72)&gt;(H$3*10^12-$A71),$A71,$A72)=H72,0,IF((H$3*10^12-$A72)*(H$3*10^12-$A71)*-1&lt;0,0,1)*IF(ABS(H$3*10^12-$A72)&gt;(H$3*10^12-$A71),$A71,$A72))</f>
        <v>0</v>
      </c>
      <c r="I71">
        <f t="shared" ref="I71:I102" si="20">IF(IF((I$3*10^12-$A72)*(I$3*10^12-$A71)*-1&lt;0,0,1)*IF(ABS(I$3*10^12-$A72)&gt;(I$3*10^12-$A71),$A71,$A72)=I72,0,IF((I$3*10^12-$A72)*(I$3*10^12-$A71)*-1&lt;0,0,1)*IF(ABS(I$3*10^12-$A72)&gt;(I$3*10^12-$A71),$A71,$A72))</f>
        <v>0</v>
      </c>
      <c r="J71">
        <f t="shared" si="13"/>
        <v>0</v>
      </c>
    </row>
    <row r="72" spans="1:10" x14ac:dyDescent="0.2">
      <c r="A72">
        <f t="shared" si="11"/>
        <v>150000</v>
      </c>
      <c r="B72">
        <f t="shared" si="15"/>
        <v>0</v>
      </c>
      <c r="C72">
        <f t="shared" si="16"/>
        <v>0</v>
      </c>
      <c r="D72">
        <f t="shared" si="16"/>
        <v>0</v>
      </c>
      <c r="E72">
        <f t="shared" si="16"/>
        <v>0</v>
      </c>
      <c r="F72">
        <f t="shared" si="17"/>
        <v>0</v>
      </c>
      <c r="G72">
        <f t="shared" si="18"/>
        <v>0</v>
      </c>
      <c r="H72">
        <f t="shared" si="19"/>
        <v>0</v>
      </c>
      <c r="I72">
        <f t="shared" si="20"/>
        <v>0</v>
      </c>
      <c r="J72">
        <f t="shared" si="13"/>
        <v>0</v>
      </c>
    </row>
    <row r="73" spans="1:10" x14ac:dyDescent="0.2">
      <c r="A73">
        <f t="shared" si="11"/>
        <v>180000</v>
      </c>
      <c r="B73">
        <f t="shared" si="15"/>
        <v>0</v>
      </c>
      <c r="C73">
        <f t="shared" si="16"/>
        <v>0</v>
      </c>
      <c r="D73">
        <f t="shared" si="16"/>
        <v>0</v>
      </c>
      <c r="E73">
        <f t="shared" si="16"/>
        <v>0</v>
      </c>
      <c r="F73">
        <f t="shared" si="17"/>
        <v>0</v>
      </c>
      <c r="G73">
        <f t="shared" si="18"/>
        <v>0</v>
      </c>
      <c r="H73">
        <f t="shared" si="19"/>
        <v>0</v>
      </c>
      <c r="I73">
        <f t="shared" si="20"/>
        <v>0</v>
      </c>
      <c r="J73">
        <f t="shared" si="13"/>
        <v>0</v>
      </c>
    </row>
    <row r="74" spans="1:10" x14ac:dyDescent="0.2">
      <c r="A74">
        <f t="shared" si="11"/>
        <v>220000</v>
      </c>
      <c r="B74">
        <f t="shared" si="15"/>
        <v>0</v>
      </c>
      <c r="C74">
        <f t="shared" si="16"/>
        <v>0</v>
      </c>
      <c r="D74">
        <f t="shared" si="16"/>
        <v>0</v>
      </c>
      <c r="E74">
        <f t="shared" si="16"/>
        <v>0</v>
      </c>
      <c r="F74">
        <f t="shared" si="17"/>
        <v>0</v>
      </c>
      <c r="G74">
        <f t="shared" si="18"/>
        <v>0</v>
      </c>
      <c r="H74">
        <f t="shared" si="19"/>
        <v>0</v>
      </c>
      <c r="I74">
        <f t="shared" si="20"/>
        <v>0</v>
      </c>
      <c r="J74">
        <f t="shared" si="13"/>
        <v>0</v>
      </c>
    </row>
    <row r="75" spans="1:10" x14ac:dyDescent="0.2">
      <c r="A75">
        <f t="shared" si="11"/>
        <v>270000</v>
      </c>
      <c r="B75">
        <f t="shared" si="15"/>
        <v>0</v>
      </c>
      <c r="C75">
        <f t="shared" si="16"/>
        <v>0</v>
      </c>
      <c r="D75">
        <f t="shared" si="16"/>
        <v>0</v>
      </c>
      <c r="E75">
        <f t="shared" si="16"/>
        <v>0</v>
      </c>
      <c r="F75">
        <f t="shared" si="17"/>
        <v>0</v>
      </c>
      <c r="G75">
        <f t="shared" si="18"/>
        <v>0</v>
      </c>
      <c r="H75">
        <f t="shared" si="19"/>
        <v>0</v>
      </c>
      <c r="I75">
        <f t="shared" si="20"/>
        <v>0</v>
      </c>
      <c r="J75">
        <f t="shared" si="13"/>
        <v>0</v>
      </c>
    </row>
    <row r="76" spans="1:10" x14ac:dyDescent="0.2">
      <c r="A76">
        <f t="shared" si="11"/>
        <v>330000</v>
      </c>
      <c r="B76">
        <f t="shared" si="15"/>
        <v>0</v>
      </c>
      <c r="C76">
        <f t="shared" si="16"/>
        <v>0</v>
      </c>
      <c r="D76">
        <f t="shared" si="16"/>
        <v>0</v>
      </c>
      <c r="E76">
        <f t="shared" si="16"/>
        <v>0</v>
      </c>
      <c r="F76">
        <f t="shared" si="17"/>
        <v>0</v>
      </c>
      <c r="G76">
        <f t="shared" si="18"/>
        <v>0</v>
      </c>
      <c r="H76">
        <f t="shared" si="19"/>
        <v>0</v>
      </c>
      <c r="I76">
        <f t="shared" si="20"/>
        <v>0</v>
      </c>
      <c r="J76">
        <f t="shared" si="13"/>
        <v>0</v>
      </c>
    </row>
    <row r="77" spans="1:10" x14ac:dyDescent="0.2">
      <c r="A77">
        <f t="shared" si="11"/>
        <v>390000</v>
      </c>
      <c r="B77">
        <f t="shared" si="15"/>
        <v>0</v>
      </c>
      <c r="C77">
        <f t="shared" si="16"/>
        <v>0</v>
      </c>
      <c r="D77">
        <f t="shared" si="16"/>
        <v>0</v>
      </c>
      <c r="E77">
        <f t="shared" si="16"/>
        <v>0</v>
      </c>
      <c r="F77">
        <f t="shared" si="17"/>
        <v>0</v>
      </c>
      <c r="G77">
        <f t="shared" si="18"/>
        <v>0</v>
      </c>
      <c r="H77">
        <f t="shared" si="19"/>
        <v>0</v>
      </c>
      <c r="I77">
        <f t="shared" si="20"/>
        <v>0</v>
      </c>
      <c r="J77">
        <f t="shared" si="13"/>
        <v>0</v>
      </c>
    </row>
    <row r="78" spans="1:10" x14ac:dyDescent="0.2">
      <c r="A78">
        <f t="shared" si="11"/>
        <v>470000</v>
      </c>
      <c r="B78">
        <f t="shared" si="15"/>
        <v>0</v>
      </c>
      <c r="C78">
        <f t="shared" si="16"/>
        <v>0</v>
      </c>
      <c r="D78">
        <f t="shared" si="16"/>
        <v>0</v>
      </c>
      <c r="E78">
        <f t="shared" si="16"/>
        <v>0</v>
      </c>
      <c r="F78">
        <f t="shared" si="17"/>
        <v>0</v>
      </c>
      <c r="G78">
        <f t="shared" si="18"/>
        <v>470000</v>
      </c>
      <c r="H78">
        <f t="shared" si="19"/>
        <v>0</v>
      </c>
      <c r="I78">
        <f t="shared" si="20"/>
        <v>0</v>
      </c>
      <c r="J78">
        <f t="shared" si="13"/>
        <v>0</v>
      </c>
    </row>
    <row r="79" spans="1:10" x14ac:dyDescent="0.2">
      <c r="A79">
        <f t="shared" si="11"/>
        <v>560000</v>
      </c>
      <c r="B79">
        <f t="shared" si="15"/>
        <v>0</v>
      </c>
      <c r="C79">
        <f t="shared" si="16"/>
        <v>0</v>
      </c>
      <c r="D79">
        <f t="shared" si="16"/>
        <v>0</v>
      </c>
      <c r="E79">
        <f t="shared" si="16"/>
        <v>0</v>
      </c>
      <c r="F79">
        <f t="shared" si="17"/>
        <v>0</v>
      </c>
      <c r="G79">
        <f t="shared" si="18"/>
        <v>0</v>
      </c>
      <c r="H79">
        <f t="shared" si="19"/>
        <v>0</v>
      </c>
      <c r="I79">
        <f t="shared" si="20"/>
        <v>0</v>
      </c>
      <c r="J79">
        <f t="shared" si="13"/>
        <v>0</v>
      </c>
    </row>
    <row r="80" spans="1:10" x14ac:dyDescent="0.2">
      <c r="A80">
        <f t="shared" si="11"/>
        <v>680000</v>
      </c>
      <c r="B80">
        <f t="shared" si="15"/>
        <v>0</v>
      </c>
      <c r="C80">
        <f t="shared" si="16"/>
        <v>0</v>
      </c>
      <c r="D80">
        <f t="shared" si="16"/>
        <v>0</v>
      </c>
      <c r="E80">
        <f t="shared" si="16"/>
        <v>0</v>
      </c>
      <c r="F80">
        <f t="shared" si="17"/>
        <v>0</v>
      </c>
      <c r="G80">
        <f t="shared" si="18"/>
        <v>0</v>
      </c>
      <c r="H80">
        <f t="shared" si="19"/>
        <v>0</v>
      </c>
      <c r="I80">
        <f t="shared" si="20"/>
        <v>0</v>
      </c>
      <c r="J80">
        <f t="shared" si="13"/>
        <v>0</v>
      </c>
    </row>
    <row r="81" spans="1:10" x14ac:dyDescent="0.2">
      <c r="A81">
        <f t="shared" si="11"/>
        <v>820000</v>
      </c>
      <c r="B81">
        <f t="shared" si="15"/>
        <v>0</v>
      </c>
      <c r="C81">
        <f t="shared" si="16"/>
        <v>0</v>
      </c>
      <c r="D81">
        <f t="shared" si="16"/>
        <v>0</v>
      </c>
      <c r="E81">
        <f t="shared" si="16"/>
        <v>0</v>
      </c>
      <c r="F81">
        <f t="shared" si="17"/>
        <v>0</v>
      </c>
      <c r="G81">
        <f t="shared" si="18"/>
        <v>0</v>
      </c>
      <c r="H81">
        <f t="shared" si="19"/>
        <v>0</v>
      </c>
      <c r="I81">
        <f t="shared" si="20"/>
        <v>0</v>
      </c>
      <c r="J81">
        <f t="shared" si="13"/>
        <v>0</v>
      </c>
    </row>
    <row r="82" spans="1:10" x14ac:dyDescent="0.2">
      <c r="A82">
        <f t="shared" si="11"/>
        <v>1000000</v>
      </c>
      <c r="B82">
        <f t="shared" si="15"/>
        <v>0</v>
      </c>
      <c r="C82">
        <f t="shared" si="16"/>
        <v>0</v>
      </c>
      <c r="D82">
        <f t="shared" si="16"/>
        <v>0</v>
      </c>
      <c r="E82">
        <f t="shared" si="16"/>
        <v>0</v>
      </c>
      <c r="F82">
        <f t="shared" si="17"/>
        <v>0</v>
      </c>
      <c r="G82">
        <f t="shared" si="18"/>
        <v>0</v>
      </c>
      <c r="H82">
        <f t="shared" si="19"/>
        <v>0</v>
      </c>
      <c r="I82">
        <f t="shared" si="20"/>
        <v>0</v>
      </c>
      <c r="J82">
        <f t="shared" si="13"/>
        <v>0</v>
      </c>
    </row>
    <row r="83" spans="1:10" x14ac:dyDescent="0.2">
      <c r="A83">
        <f t="shared" si="11"/>
        <v>1200000</v>
      </c>
      <c r="B83">
        <f t="shared" si="15"/>
        <v>0</v>
      </c>
      <c r="C83">
        <f t="shared" si="16"/>
        <v>0</v>
      </c>
      <c r="D83">
        <f t="shared" si="16"/>
        <v>0</v>
      </c>
      <c r="E83">
        <f t="shared" si="16"/>
        <v>0</v>
      </c>
      <c r="F83">
        <f t="shared" si="17"/>
        <v>0</v>
      </c>
      <c r="G83">
        <f t="shared" si="18"/>
        <v>0</v>
      </c>
      <c r="H83">
        <f t="shared" si="19"/>
        <v>0</v>
      </c>
      <c r="I83">
        <f t="shared" si="20"/>
        <v>0</v>
      </c>
      <c r="J83">
        <f t="shared" si="13"/>
        <v>0</v>
      </c>
    </row>
    <row r="84" spans="1:10" x14ac:dyDescent="0.2">
      <c r="A84">
        <f t="shared" si="11"/>
        <v>1500000</v>
      </c>
      <c r="B84">
        <f t="shared" si="15"/>
        <v>0</v>
      </c>
      <c r="C84">
        <f t="shared" si="16"/>
        <v>0</v>
      </c>
      <c r="D84">
        <f t="shared" si="16"/>
        <v>0</v>
      </c>
      <c r="E84">
        <f t="shared" si="16"/>
        <v>0</v>
      </c>
      <c r="F84">
        <f t="shared" si="17"/>
        <v>0</v>
      </c>
      <c r="G84">
        <f t="shared" si="18"/>
        <v>0</v>
      </c>
      <c r="H84">
        <f t="shared" si="19"/>
        <v>0</v>
      </c>
      <c r="I84">
        <f t="shared" si="20"/>
        <v>0</v>
      </c>
      <c r="J84">
        <f t="shared" si="13"/>
        <v>0</v>
      </c>
    </row>
    <row r="85" spans="1:10" x14ac:dyDescent="0.2">
      <c r="A85">
        <f t="shared" si="11"/>
        <v>1800000</v>
      </c>
      <c r="B85">
        <f t="shared" si="15"/>
        <v>0</v>
      </c>
      <c r="C85">
        <f t="shared" si="16"/>
        <v>0</v>
      </c>
      <c r="D85">
        <f t="shared" si="16"/>
        <v>0</v>
      </c>
      <c r="E85">
        <f t="shared" si="16"/>
        <v>0</v>
      </c>
      <c r="F85">
        <f t="shared" si="17"/>
        <v>0</v>
      </c>
      <c r="G85">
        <f t="shared" si="18"/>
        <v>0</v>
      </c>
      <c r="H85">
        <f t="shared" si="19"/>
        <v>0</v>
      </c>
      <c r="I85">
        <f t="shared" si="20"/>
        <v>0</v>
      </c>
      <c r="J85">
        <f t="shared" si="13"/>
        <v>0</v>
      </c>
    </row>
    <row r="86" spans="1:10" x14ac:dyDescent="0.2">
      <c r="A86">
        <f t="shared" si="11"/>
        <v>2200000</v>
      </c>
      <c r="B86">
        <f t="shared" si="15"/>
        <v>0</v>
      </c>
      <c r="C86">
        <f t="shared" si="16"/>
        <v>0</v>
      </c>
      <c r="D86">
        <f t="shared" si="16"/>
        <v>0</v>
      </c>
      <c r="E86">
        <f t="shared" si="16"/>
        <v>0</v>
      </c>
      <c r="F86">
        <f t="shared" si="17"/>
        <v>0</v>
      </c>
      <c r="G86">
        <f t="shared" si="18"/>
        <v>0</v>
      </c>
      <c r="H86">
        <f t="shared" si="19"/>
        <v>0</v>
      </c>
      <c r="I86">
        <f t="shared" si="20"/>
        <v>0</v>
      </c>
      <c r="J86">
        <f t="shared" si="13"/>
        <v>0</v>
      </c>
    </row>
    <row r="87" spans="1:10" x14ac:dyDescent="0.2">
      <c r="A87">
        <f t="shared" si="11"/>
        <v>2700000</v>
      </c>
      <c r="B87">
        <f t="shared" si="15"/>
        <v>0</v>
      </c>
      <c r="C87">
        <f t="shared" si="16"/>
        <v>0</v>
      </c>
      <c r="D87">
        <f t="shared" si="16"/>
        <v>0</v>
      </c>
      <c r="E87">
        <f t="shared" si="16"/>
        <v>0</v>
      </c>
      <c r="F87">
        <f t="shared" si="17"/>
        <v>0</v>
      </c>
      <c r="G87">
        <f t="shared" si="18"/>
        <v>0</v>
      </c>
      <c r="H87">
        <f t="shared" si="19"/>
        <v>0</v>
      </c>
      <c r="I87">
        <f t="shared" si="20"/>
        <v>0</v>
      </c>
      <c r="J87">
        <f t="shared" si="13"/>
        <v>0</v>
      </c>
    </row>
    <row r="88" spans="1:10" x14ac:dyDescent="0.2">
      <c r="A88">
        <f t="shared" si="11"/>
        <v>3300000</v>
      </c>
      <c r="B88">
        <f t="shared" si="15"/>
        <v>0</v>
      </c>
      <c r="C88">
        <f t="shared" si="16"/>
        <v>0</v>
      </c>
      <c r="D88">
        <f t="shared" si="16"/>
        <v>0</v>
      </c>
      <c r="E88">
        <f t="shared" si="16"/>
        <v>0</v>
      </c>
      <c r="F88">
        <f t="shared" si="17"/>
        <v>0</v>
      </c>
      <c r="G88">
        <f t="shared" si="18"/>
        <v>0</v>
      </c>
      <c r="H88">
        <f t="shared" si="19"/>
        <v>0</v>
      </c>
      <c r="I88">
        <f t="shared" si="20"/>
        <v>0</v>
      </c>
      <c r="J88">
        <f t="shared" si="13"/>
        <v>0</v>
      </c>
    </row>
    <row r="89" spans="1:10" x14ac:dyDescent="0.2">
      <c r="A89">
        <f t="shared" si="11"/>
        <v>3900000</v>
      </c>
      <c r="B89">
        <f t="shared" si="15"/>
        <v>0</v>
      </c>
      <c r="C89">
        <f t="shared" si="16"/>
        <v>0</v>
      </c>
      <c r="D89">
        <f t="shared" si="16"/>
        <v>0</v>
      </c>
      <c r="E89">
        <f t="shared" si="16"/>
        <v>0</v>
      </c>
      <c r="F89">
        <f t="shared" si="17"/>
        <v>0</v>
      </c>
      <c r="G89">
        <f t="shared" si="18"/>
        <v>0</v>
      </c>
      <c r="H89">
        <f t="shared" si="19"/>
        <v>0</v>
      </c>
      <c r="I89">
        <f t="shared" si="20"/>
        <v>0</v>
      </c>
      <c r="J89">
        <f t="shared" si="13"/>
        <v>0</v>
      </c>
    </row>
    <row r="90" spans="1:10" x14ac:dyDescent="0.2">
      <c r="A90">
        <f t="shared" si="11"/>
        <v>4700000</v>
      </c>
      <c r="B90">
        <f t="shared" si="15"/>
        <v>0</v>
      </c>
      <c r="C90">
        <f t="shared" si="16"/>
        <v>0</v>
      </c>
      <c r="D90">
        <f t="shared" si="16"/>
        <v>0</v>
      </c>
      <c r="E90">
        <f t="shared" si="16"/>
        <v>4700000</v>
      </c>
      <c r="F90">
        <f t="shared" si="17"/>
        <v>0</v>
      </c>
      <c r="G90">
        <f t="shared" si="18"/>
        <v>0</v>
      </c>
      <c r="H90">
        <f t="shared" si="19"/>
        <v>0</v>
      </c>
      <c r="I90">
        <f t="shared" si="20"/>
        <v>0</v>
      </c>
      <c r="J90">
        <f t="shared" si="13"/>
        <v>0</v>
      </c>
    </row>
    <row r="91" spans="1:10" x14ac:dyDescent="0.2">
      <c r="A91">
        <f t="shared" si="11"/>
        <v>5600000</v>
      </c>
      <c r="B91">
        <f t="shared" si="15"/>
        <v>0</v>
      </c>
      <c r="C91">
        <f t="shared" si="16"/>
        <v>0</v>
      </c>
      <c r="D91">
        <f t="shared" si="16"/>
        <v>0</v>
      </c>
      <c r="E91">
        <f t="shared" si="16"/>
        <v>0</v>
      </c>
      <c r="F91">
        <f t="shared" si="17"/>
        <v>0</v>
      </c>
      <c r="G91">
        <f t="shared" si="18"/>
        <v>0</v>
      </c>
      <c r="H91">
        <f t="shared" si="19"/>
        <v>0</v>
      </c>
      <c r="I91">
        <f t="shared" si="20"/>
        <v>0</v>
      </c>
      <c r="J91">
        <f t="shared" si="13"/>
        <v>0</v>
      </c>
    </row>
    <row r="92" spans="1:10" x14ac:dyDescent="0.2">
      <c r="A92">
        <f t="shared" si="11"/>
        <v>6800000</v>
      </c>
      <c r="B92">
        <f t="shared" si="15"/>
        <v>0</v>
      </c>
      <c r="C92">
        <f t="shared" si="16"/>
        <v>0</v>
      </c>
      <c r="D92">
        <f t="shared" si="16"/>
        <v>0</v>
      </c>
      <c r="E92">
        <f t="shared" si="16"/>
        <v>0</v>
      </c>
      <c r="F92">
        <f t="shared" si="17"/>
        <v>0</v>
      </c>
      <c r="G92">
        <f t="shared" si="18"/>
        <v>0</v>
      </c>
      <c r="H92">
        <f t="shared" si="19"/>
        <v>0</v>
      </c>
      <c r="I92">
        <f t="shared" si="20"/>
        <v>0</v>
      </c>
      <c r="J92">
        <f t="shared" si="13"/>
        <v>0</v>
      </c>
    </row>
    <row r="93" spans="1:10" x14ac:dyDescent="0.2">
      <c r="A93">
        <f t="shared" si="11"/>
        <v>8200000</v>
      </c>
      <c r="B93">
        <f t="shared" si="15"/>
        <v>0</v>
      </c>
      <c r="C93">
        <f t="shared" si="16"/>
        <v>0</v>
      </c>
      <c r="D93">
        <f t="shared" si="16"/>
        <v>0</v>
      </c>
      <c r="E93">
        <f t="shared" si="16"/>
        <v>0</v>
      </c>
      <c r="F93">
        <f t="shared" si="17"/>
        <v>0</v>
      </c>
      <c r="G93">
        <f t="shared" si="18"/>
        <v>0</v>
      </c>
      <c r="H93">
        <f t="shared" si="19"/>
        <v>0</v>
      </c>
      <c r="I93">
        <f t="shared" si="20"/>
        <v>0</v>
      </c>
      <c r="J93">
        <f t="shared" si="13"/>
        <v>0</v>
      </c>
    </row>
    <row r="94" spans="1:10" x14ac:dyDescent="0.2">
      <c r="A94">
        <f t="shared" si="11"/>
        <v>10000000</v>
      </c>
      <c r="B94">
        <f t="shared" si="15"/>
        <v>0</v>
      </c>
      <c r="C94">
        <f t="shared" si="16"/>
        <v>0</v>
      </c>
      <c r="D94">
        <f t="shared" si="16"/>
        <v>0</v>
      </c>
      <c r="E94">
        <f t="shared" si="16"/>
        <v>0</v>
      </c>
      <c r="F94">
        <f t="shared" si="17"/>
        <v>0</v>
      </c>
      <c r="G94">
        <f t="shared" si="18"/>
        <v>0</v>
      </c>
      <c r="H94">
        <f t="shared" si="19"/>
        <v>0</v>
      </c>
      <c r="I94">
        <f t="shared" si="20"/>
        <v>0</v>
      </c>
      <c r="J94">
        <f t="shared" si="13"/>
        <v>0</v>
      </c>
    </row>
    <row r="95" spans="1:10" x14ac:dyDescent="0.2">
      <c r="A95">
        <f t="shared" si="11"/>
        <v>12000000</v>
      </c>
      <c r="B95">
        <f t="shared" si="15"/>
        <v>0</v>
      </c>
      <c r="C95">
        <f t="shared" si="16"/>
        <v>0</v>
      </c>
      <c r="D95">
        <f t="shared" si="16"/>
        <v>0</v>
      </c>
      <c r="E95">
        <f t="shared" si="16"/>
        <v>0</v>
      </c>
      <c r="F95">
        <f t="shared" si="17"/>
        <v>0</v>
      </c>
      <c r="G95">
        <f t="shared" si="18"/>
        <v>0</v>
      </c>
      <c r="H95">
        <f t="shared" si="19"/>
        <v>0</v>
      </c>
      <c r="I95">
        <f t="shared" si="20"/>
        <v>0</v>
      </c>
      <c r="J95">
        <f t="shared" si="13"/>
        <v>0</v>
      </c>
    </row>
    <row r="96" spans="1:10" x14ac:dyDescent="0.2">
      <c r="A96">
        <f t="shared" si="11"/>
        <v>15000000</v>
      </c>
      <c r="B96">
        <f t="shared" si="15"/>
        <v>0</v>
      </c>
      <c r="C96">
        <f t="shared" si="16"/>
        <v>0</v>
      </c>
      <c r="D96">
        <f t="shared" si="16"/>
        <v>0</v>
      </c>
      <c r="E96">
        <f t="shared" si="16"/>
        <v>0</v>
      </c>
      <c r="F96">
        <f t="shared" si="17"/>
        <v>0</v>
      </c>
      <c r="G96">
        <f t="shared" si="18"/>
        <v>0</v>
      </c>
      <c r="H96">
        <f t="shared" si="19"/>
        <v>0</v>
      </c>
      <c r="I96">
        <f t="shared" si="20"/>
        <v>0</v>
      </c>
      <c r="J96">
        <f t="shared" si="13"/>
        <v>0</v>
      </c>
    </row>
    <row r="97" spans="1:10" x14ac:dyDescent="0.2">
      <c r="A97">
        <f t="shared" si="11"/>
        <v>18000000</v>
      </c>
      <c r="B97">
        <f t="shared" si="15"/>
        <v>0</v>
      </c>
      <c r="C97">
        <f t="shared" si="16"/>
        <v>0</v>
      </c>
      <c r="D97">
        <f t="shared" si="16"/>
        <v>0</v>
      </c>
      <c r="E97">
        <f t="shared" si="16"/>
        <v>0</v>
      </c>
      <c r="F97">
        <f t="shared" si="17"/>
        <v>0</v>
      </c>
      <c r="G97">
        <f t="shared" si="18"/>
        <v>0</v>
      </c>
      <c r="H97">
        <f t="shared" si="19"/>
        <v>0</v>
      </c>
      <c r="I97">
        <f t="shared" si="20"/>
        <v>0</v>
      </c>
      <c r="J97">
        <f t="shared" si="13"/>
        <v>0</v>
      </c>
    </row>
    <row r="98" spans="1:10" x14ac:dyDescent="0.2">
      <c r="A98">
        <f t="shared" si="11"/>
        <v>22000000</v>
      </c>
      <c r="B98">
        <f t="shared" si="15"/>
        <v>0</v>
      </c>
      <c r="C98">
        <f t="shared" si="16"/>
        <v>0</v>
      </c>
      <c r="D98">
        <f t="shared" si="16"/>
        <v>0</v>
      </c>
      <c r="E98">
        <f t="shared" si="16"/>
        <v>0</v>
      </c>
      <c r="F98">
        <f t="shared" si="17"/>
        <v>0</v>
      </c>
      <c r="G98">
        <f t="shared" si="18"/>
        <v>0</v>
      </c>
      <c r="H98">
        <f t="shared" si="19"/>
        <v>0</v>
      </c>
      <c r="I98">
        <f t="shared" si="20"/>
        <v>0</v>
      </c>
      <c r="J98">
        <f t="shared" si="13"/>
        <v>0</v>
      </c>
    </row>
    <row r="99" spans="1:10" x14ac:dyDescent="0.2">
      <c r="A99">
        <f t="shared" ref="A99:A159" si="21">A87*10</f>
        <v>27000000</v>
      </c>
      <c r="B99">
        <f t="shared" si="15"/>
        <v>0</v>
      </c>
      <c r="C99">
        <f t="shared" si="16"/>
        <v>0</v>
      </c>
      <c r="D99">
        <f t="shared" si="16"/>
        <v>0</v>
      </c>
      <c r="E99">
        <f t="shared" si="16"/>
        <v>0</v>
      </c>
      <c r="F99">
        <f t="shared" si="17"/>
        <v>0</v>
      </c>
      <c r="G99">
        <f t="shared" si="18"/>
        <v>0</v>
      </c>
      <c r="H99">
        <f t="shared" si="19"/>
        <v>0</v>
      </c>
      <c r="I99">
        <f t="shared" si="20"/>
        <v>0</v>
      </c>
      <c r="J99">
        <f t="shared" si="13"/>
        <v>0</v>
      </c>
    </row>
    <row r="100" spans="1:10" x14ac:dyDescent="0.2">
      <c r="A100">
        <f t="shared" si="21"/>
        <v>33000000</v>
      </c>
      <c r="B100">
        <f t="shared" si="15"/>
        <v>0</v>
      </c>
      <c r="C100">
        <f t="shared" si="16"/>
        <v>0</v>
      </c>
      <c r="D100">
        <f t="shared" si="16"/>
        <v>0</v>
      </c>
      <c r="E100">
        <f t="shared" si="16"/>
        <v>0</v>
      </c>
      <c r="F100">
        <f t="shared" si="17"/>
        <v>0</v>
      </c>
      <c r="G100">
        <f t="shared" si="18"/>
        <v>0</v>
      </c>
      <c r="H100">
        <f t="shared" si="19"/>
        <v>0</v>
      </c>
      <c r="I100">
        <f t="shared" si="20"/>
        <v>0</v>
      </c>
      <c r="J100">
        <f t="shared" si="13"/>
        <v>0</v>
      </c>
    </row>
    <row r="101" spans="1:10" x14ac:dyDescent="0.2">
      <c r="A101">
        <f t="shared" si="21"/>
        <v>39000000</v>
      </c>
      <c r="B101">
        <f t="shared" si="15"/>
        <v>0</v>
      </c>
      <c r="C101">
        <f t="shared" si="16"/>
        <v>0</v>
      </c>
      <c r="D101">
        <f t="shared" si="16"/>
        <v>0</v>
      </c>
      <c r="E101">
        <f t="shared" si="16"/>
        <v>0</v>
      </c>
      <c r="F101">
        <f t="shared" si="17"/>
        <v>0</v>
      </c>
      <c r="G101">
        <f t="shared" si="18"/>
        <v>0</v>
      </c>
      <c r="H101">
        <f t="shared" si="19"/>
        <v>0</v>
      </c>
      <c r="I101">
        <f t="shared" si="20"/>
        <v>0</v>
      </c>
      <c r="J101">
        <f t="shared" si="13"/>
        <v>0</v>
      </c>
    </row>
    <row r="102" spans="1:10" x14ac:dyDescent="0.2">
      <c r="A102">
        <f t="shared" si="21"/>
        <v>47000000</v>
      </c>
      <c r="B102">
        <f t="shared" si="15"/>
        <v>0</v>
      </c>
      <c r="C102">
        <f t="shared" si="16"/>
        <v>0</v>
      </c>
      <c r="D102">
        <f t="shared" si="16"/>
        <v>0</v>
      </c>
      <c r="E102">
        <f t="shared" si="16"/>
        <v>0</v>
      </c>
      <c r="F102">
        <f t="shared" si="17"/>
        <v>47000000</v>
      </c>
      <c r="G102">
        <f t="shared" si="18"/>
        <v>0</v>
      </c>
      <c r="H102">
        <f t="shared" si="19"/>
        <v>0</v>
      </c>
      <c r="I102">
        <f t="shared" si="20"/>
        <v>0</v>
      </c>
      <c r="J102">
        <f t="shared" si="13"/>
        <v>0</v>
      </c>
    </row>
    <row r="103" spans="1:10" x14ac:dyDescent="0.2">
      <c r="A103">
        <f t="shared" si="21"/>
        <v>56000000</v>
      </c>
      <c r="B103">
        <f t="shared" si="15"/>
        <v>0</v>
      </c>
      <c r="C103">
        <f t="shared" si="16"/>
        <v>0</v>
      </c>
      <c r="D103">
        <f t="shared" si="16"/>
        <v>0</v>
      </c>
      <c r="E103">
        <f t="shared" si="16"/>
        <v>0</v>
      </c>
      <c r="F103">
        <f t="shared" ref="F103:F134" si="22">IF(IF((F$3*10^12-$A104)*(F$3*10^12-$A103)*-1&lt;0,0,1)*IF(ABS(F$3*10^12-$A104)&gt;(F$3*10^12-$A103),$A103,$A104)=F104,0,IF((F$3*10^12-$A104)*(F$3*10^12-$A103)*-1&lt;0,0,1)*IF(ABS(F$3*10^12-$A104)&gt;(F$3*10^12-$A103),$A103,$A104))</f>
        <v>0</v>
      </c>
      <c r="G103">
        <f t="shared" ref="G103:G134" si="23">IF(IF((G$3*10^12-$A104)*(G$3*10^12-$A103)*-1&lt;0,0,1)*IF(ABS(G$3*10^12-$A104)&gt;(G$3*10^12-$A103),$A103,$A104)=G104,0,IF((G$3*10^12-$A104)*(G$3*10^12-$A103)*-1&lt;0,0,1)*IF(ABS(G$3*10^12-$A104)&gt;(G$3*10^12-$A103),$A103,$A104))</f>
        <v>0</v>
      </c>
      <c r="H103">
        <f t="shared" ref="H103:H134" si="24">IF(IF((H$3*10^12-$A104)*(H$3*10^12-$A103)*-1&lt;0,0,1)*IF(ABS(H$3*10^12-$A104)&gt;(H$3*10^12-$A103),$A103,$A104)=H104,0,IF((H$3*10^12-$A104)*(H$3*10^12-$A103)*-1&lt;0,0,1)*IF(ABS(H$3*10^12-$A104)&gt;(H$3*10^12-$A103),$A103,$A104))</f>
        <v>0</v>
      </c>
      <c r="I103">
        <f t="shared" ref="I103:I134" si="25">IF(IF((I$3*10^12-$A104)*(I$3*10^12-$A103)*-1&lt;0,0,1)*IF(ABS(I$3*10^12-$A104)&gt;(I$3*10^12-$A103),$A103,$A104)=I104,0,IF((I$3*10^12-$A104)*(I$3*10^12-$A103)*-1&lt;0,0,1)*IF(ABS(I$3*10^12-$A104)&gt;(I$3*10^12-$A103),$A103,$A104))</f>
        <v>0</v>
      </c>
      <c r="J103">
        <f t="shared" si="13"/>
        <v>0</v>
      </c>
    </row>
    <row r="104" spans="1:10" x14ac:dyDescent="0.2">
      <c r="A104">
        <f t="shared" si="21"/>
        <v>68000000</v>
      </c>
      <c r="B104">
        <f t="shared" si="15"/>
        <v>0</v>
      </c>
      <c r="C104">
        <f t="shared" si="16"/>
        <v>0</v>
      </c>
      <c r="D104">
        <f t="shared" si="16"/>
        <v>0</v>
      </c>
      <c r="E104">
        <f t="shared" si="16"/>
        <v>0</v>
      </c>
      <c r="F104">
        <f t="shared" si="22"/>
        <v>0</v>
      </c>
      <c r="G104">
        <f t="shared" si="23"/>
        <v>0</v>
      </c>
      <c r="H104">
        <f t="shared" si="24"/>
        <v>0</v>
      </c>
      <c r="I104">
        <f t="shared" si="25"/>
        <v>0</v>
      </c>
      <c r="J104">
        <f t="shared" si="13"/>
        <v>0</v>
      </c>
    </row>
    <row r="105" spans="1:10" x14ac:dyDescent="0.2">
      <c r="A105">
        <f t="shared" si="21"/>
        <v>82000000</v>
      </c>
      <c r="B105">
        <f t="shared" si="15"/>
        <v>0</v>
      </c>
      <c r="C105">
        <f t="shared" si="16"/>
        <v>0</v>
      </c>
      <c r="D105">
        <f t="shared" si="16"/>
        <v>0</v>
      </c>
      <c r="E105">
        <f t="shared" si="16"/>
        <v>0</v>
      </c>
      <c r="F105">
        <f t="shared" si="22"/>
        <v>0</v>
      </c>
      <c r="G105">
        <f t="shared" si="23"/>
        <v>0</v>
      </c>
      <c r="H105">
        <f t="shared" si="24"/>
        <v>0</v>
      </c>
      <c r="I105">
        <f t="shared" si="25"/>
        <v>0</v>
      </c>
      <c r="J105">
        <f t="shared" si="13"/>
        <v>0</v>
      </c>
    </row>
    <row r="106" spans="1:10" x14ac:dyDescent="0.2">
      <c r="A106">
        <f t="shared" si="21"/>
        <v>100000000</v>
      </c>
      <c r="B106">
        <f t="shared" si="15"/>
        <v>0</v>
      </c>
      <c r="C106">
        <f t="shared" si="16"/>
        <v>0</v>
      </c>
      <c r="D106">
        <f t="shared" si="16"/>
        <v>0</v>
      </c>
      <c r="E106">
        <f t="shared" si="16"/>
        <v>0</v>
      </c>
      <c r="F106">
        <f t="shared" si="22"/>
        <v>0</v>
      </c>
      <c r="G106">
        <f t="shared" si="23"/>
        <v>0</v>
      </c>
      <c r="H106">
        <f t="shared" si="24"/>
        <v>0</v>
      </c>
      <c r="I106">
        <f t="shared" si="25"/>
        <v>0</v>
      </c>
      <c r="J106">
        <f t="shared" si="13"/>
        <v>0</v>
      </c>
    </row>
    <row r="107" spans="1:10" x14ac:dyDescent="0.2">
      <c r="A107">
        <f t="shared" si="21"/>
        <v>120000000</v>
      </c>
      <c r="B107">
        <f t="shared" si="15"/>
        <v>0</v>
      </c>
      <c r="C107">
        <f t="shared" si="16"/>
        <v>0</v>
      </c>
      <c r="D107">
        <f t="shared" si="16"/>
        <v>0</v>
      </c>
      <c r="E107">
        <f t="shared" si="16"/>
        <v>0</v>
      </c>
      <c r="F107">
        <f t="shared" si="22"/>
        <v>0</v>
      </c>
      <c r="G107">
        <f t="shared" si="23"/>
        <v>0</v>
      </c>
      <c r="H107">
        <f t="shared" si="24"/>
        <v>0</v>
      </c>
      <c r="I107">
        <f t="shared" si="25"/>
        <v>0</v>
      </c>
      <c r="J107">
        <f t="shared" si="13"/>
        <v>0</v>
      </c>
    </row>
    <row r="108" spans="1:10" x14ac:dyDescent="0.2">
      <c r="A108">
        <f t="shared" si="21"/>
        <v>150000000</v>
      </c>
      <c r="B108">
        <f t="shared" si="15"/>
        <v>0</v>
      </c>
      <c r="C108">
        <f t="shared" si="16"/>
        <v>0</v>
      </c>
      <c r="D108">
        <f t="shared" si="16"/>
        <v>0</v>
      </c>
      <c r="E108">
        <f t="shared" si="16"/>
        <v>0</v>
      </c>
      <c r="F108">
        <f t="shared" si="22"/>
        <v>0</v>
      </c>
      <c r="G108">
        <f t="shared" si="23"/>
        <v>0</v>
      </c>
      <c r="H108">
        <f t="shared" si="24"/>
        <v>0</v>
      </c>
      <c r="I108">
        <f t="shared" si="25"/>
        <v>0</v>
      </c>
      <c r="J108">
        <f t="shared" si="13"/>
        <v>0</v>
      </c>
    </row>
    <row r="109" spans="1:10" x14ac:dyDescent="0.2">
      <c r="A109">
        <f t="shared" si="21"/>
        <v>180000000</v>
      </c>
      <c r="B109">
        <f t="shared" si="15"/>
        <v>0</v>
      </c>
      <c r="C109">
        <f t="shared" si="16"/>
        <v>0</v>
      </c>
      <c r="D109">
        <f t="shared" si="16"/>
        <v>0</v>
      </c>
      <c r="E109">
        <f t="shared" si="16"/>
        <v>0</v>
      </c>
      <c r="F109">
        <f t="shared" si="22"/>
        <v>0</v>
      </c>
      <c r="G109">
        <f t="shared" si="23"/>
        <v>0</v>
      </c>
      <c r="H109">
        <f t="shared" si="24"/>
        <v>0</v>
      </c>
      <c r="I109">
        <f t="shared" si="25"/>
        <v>0</v>
      </c>
      <c r="J109">
        <f t="shared" si="13"/>
        <v>0</v>
      </c>
    </row>
    <row r="110" spans="1:10" x14ac:dyDescent="0.2">
      <c r="A110">
        <f t="shared" si="21"/>
        <v>220000000</v>
      </c>
      <c r="B110">
        <f t="shared" si="15"/>
        <v>0</v>
      </c>
      <c r="C110">
        <f t="shared" si="16"/>
        <v>0</v>
      </c>
      <c r="D110">
        <f t="shared" si="16"/>
        <v>0</v>
      </c>
      <c r="E110">
        <f t="shared" si="16"/>
        <v>0</v>
      </c>
      <c r="F110">
        <f t="shared" si="22"/>
        <v>0</v>
      </c>
      <c r="G110">
        <f t="shared" si="23"/>
        <v>0</v>
      </c>
      <c r="H110">
        <f t="shared" si="24"/>
        <v>0</v>
      </c>
      <c r="I110">
        <f t="shared" si="25"/>
        <v>0</v>
      </c>
      <c r="J110">
        <f t="shared" si="13"/>
        <v>0</v>
      </c>
    </row>
    <row r="111" spans="1:10" x14ac:dyDescent="0.2">
      <c r="A111">
        <f t="shared" si="21"/>
        <v>270000000</v>
      </c>
      <c r="B111">
        <f t="shared" si="15"/>
        <v>0</v>
      </c>
      <c r="C111">
        <f t="shared" si="16"/>
        <v>0</v>
      </c>
      <c r="D111">
        <f t="shared" si="16"/>
        <v>0</v>
      </c>
      <c r="E111">
        <f t="shared" si="16"/>
        <v>0</v>
      </c>
      <c r="F111">
        <f t="shared" si="22"/>
        <v>0</v>
      </c>
      <c r="G111">
        <f t="shared" si="23"/>
        <v>0</v>
      </c>
      <c r="H111">
        <f t="shared" si="24"/>
        <v>0</v>
      </c>
      <c r="I111">
        <f t="shared" si="25"/>
        <v>0</v>
      </c>
      <c r="J111">
        <f t="shared" si="13"/>
        <v>0</v>
      </c>
    </row>
    <row r="112" spans="1:10" x14ac:dyDescent="0.2">
      <c r="A112">
        <f t="shared" si="21"/>
        <v>330000000</v>
      </c>
      <c r="B112">
        <f t="shared" si="15"/>
        <v>0</v>
      </c>
      <c r="C112">
        <f t="shared" si="16"/>
        <v>0</v>
      </c>
      <c r="D112">
        <f t="shared" si="16"/>
        <v>0</v>
      </c>
      <c r="E112">
        <f t="shared" si="16"/>
        <v>0</v>
      </c>
      <c r="F112">
        <f t="shared" si="22"/>
        <v>0</v>
      </c>
      <c r="G112">
        <f t="shared" si="23"/>
        <v>0</v>
      </c>
      <c r="H112">
        <f t="shared" si="24"/>
        <v>0</v>
      </c>
      <c r="I112">
        <f t="shared" si="25"/>
        <v>0</v>
      </c>
      <c r="J112">
        <f t="shared" si="13"/>
        <v>0</v>
      </c>
    </row>
    <row r="113" spans="1:10" x14ac:dyDescent="0.2">
      <c r="A113">
        <f t="shared" si="21"/>
        <v>390000000</v>
      </c>
      <c r="B113">
        <f t="shared" si="15"/>
        <v>0</v>
      </c>
      <c r="C113">
        <f t="shared" si="16"/>
        <v>0</v>
      </c>
      <c r="D113">
        <f t="shared" si="16"/>
        <v>0</v>
      </c>
      <c r="E113">
        <f t="shared" si="16"/>
        <v>0</v>
      </c>
      <c r="F113">
        <f t="shared" si="22"/>
        <v>0</v>
      </c>
      <c r="G113">
        <f t="shared" si="23"/>
        <v>0</v>
      </c>
      <c r="H113">
        <f t="shared" si="24"/>
        <v>0</v>
      </c>
      <c r="I113">
        <f t="shared" si="25"/>
        <v>0</v>
      </c>
      <c r="J113">
        <f t="shared" si="13"/>
        <v>0</v>
      </c>
    </row>
    <row r="114" spans="1:10" x14ac:dyDescent="0.2">
      <c r="A114">
        <f t="shared" si="21"/>
        <v>470000000</v>
      </c>
      <c r="B114">
        <f t="shared" si="15"/>
        <v>0</v>
      </c>
      <c r="C114">
        <f t="shared" si="16"/>
        <v>0</v>
      </c>
      <c r="D114">
        <f t="shared" si="16"/>
        <v>0</v>
      </c>
      <c r="E114">
        <f t="shared" si="16"/>
        <v>0</v>
      </c>
      <c r="F114">
        <f t="shared" si="22"/>
        <v>0</v>
      </c>
      <c r="G114">
        <f t="shared" si="23"/>
        <v>0</v>
      </c>
      <c r="H114">
        <f t="shared" si="24"/>
        <v>0</v>
      </c>
      <c r="I114">
        <f t="shared" si="25"/>
        <v>0</v>
      </c>
      <c r="J114">
        <f t="shared" si="13"/>
        <v>0</v>
      </c>
    </row>
    <row r="115" spans="1:10" x14ac:dyDescent="0.2">
      <c r="A115">
        <f t="shared" si="21"/>
        <v>560000000</v>
      </c>
      <c r="B115">
        <f t="shared" si="15"/>
        <v>0</v>
      </c>
      <c r="C115">
        <f t="shared" si="16"/>
        <v>0</v>
      </c>
      <c r="D115">
        <f t="shared" si="16"/>
        <v>0</v>
      </c>
      <c r="E115">
        <f t="shared" si="16"/>
        <v>0</v>
      </c>
      <c r="F115">
        <f t="shared" si="22"/>
        <v>0</v>
      </c>
      <c r="G115">
        <f t="shared" si="23"/>
        <v>0</v>
      </c>
      <c r="H115">
        <f t="shared" si="24"/>
        <v>0</v>
      </c>
      <c r="I115">
        <f t="shared" si="25"/>
        <v>0</v>
      </c>
      <c r="J115">
        <f t="shared" si="13"/>
        <v>0</v>
      </c>
    </row>
    <row r="116" spans="1:10" x14ac:dyDescent="0.2">
      <c r="A116">
        <f t="shared" si="21"/>
        <v>680000000</v>
      </c>
      <c r="B116">
        <f t="shared" si="15"/>
        <v>0</v>
      </c>
      <c r="C116">
        <f t="shared" si="16"/>
        <v>0</v>
      </c>
      <c r="D116">
        <f t="shared" si="16"/>
        <v>0</v>
      </c>
      <c r="E116">
        <f t="shared" si="16"/>
        <v>0</v>
      </c>
      <c r="F116">
        <f t="shared" si="22"/>
        <v>0</v>
      </c>
      <c r="G116">
        <f t="shared" si="23"/>
        <v>0</v>
      </c>
      <c r="H116">
        <f t="shared" si="24"/>
        <v>0</v>
      </c>
      <c r="I116">
        <f t="shared" si="25"/>
        <v>0</v>
      </c>
      <c r="J116">
        <f t="shared" si="13"/>
        <v>0</v>
      </c>
    </row>
    <row r="117" spans="1:10" x14ac:dyDescent="0.2">
      <c r="A117">
        <f t="shared" si="21"/>
        <v>820000000</v>
      </c>
      <c r="B117">
        <f t="shared" si="15"/>
        <v>0</v>
      </c>
      <c r="C117">
        <f t="shared" si="16"/>
        <v>0</v>
      </c>
      <c r="D117">
        <f t="shared" si="16"/>
        <v>0</v>
      </c>
      <c r="E117">
        <f t="shared" si="16"/>
        <v>0</v>
      </c>
      <c r="F117">
        <f t="shared" si="22"/>
        <v>0</v>
      </c>
      <c r="G117">
        <f t="shared" si="23"/>
        <v>0</v>
      </c>
      <c r="H117">
        <f t="shared" si="24"/>
        <v>0</v>
      </c>
      <c r="I117">
        <f t="shared" si="25"/>
        <v>0</v>
      </c>
      <c r="J117">
        <f t="shared" si="13"/>
        <v>0</v>
      </c>
    </row>
    <row r="118" spans="1:10" x14ac:dyDescent="0.2">
      <c r="A118">
        <f t="shared" si="21"/>
        <v>1000000000</v>
      </c>
      <c r="B118">
        <f t="shared" si="15"/>
        <v>0</v>
      </c>
      <c r="C118">
        <f t="shared" si="16"/>
        <v>0</v>
      </c>
      <c r="D118">
        <f t="shared" si="16"/>
        <v>0</v>
      </c>
      <c r="E118">
        <f t="shared" si="16"/>
        <v>0</v>
      </c>
      <c r="F118">
        <f t="shared" si="22"/>
        <v>0</v>
      </c>
      <c r="G118">
        <f t="shared" si="23"/>
        <v>0</v>
      </c>
      <c r="H118">
        <f t="shared" si="24"/>
        <v>0</v>
      </c>
      <c r="I118">
        <f t="shared" si="25"/>
        <v>0</v>
      </c>
      <c r="J118">
        <f t="shared" si="13"/>
        <v>0</v>
      </c>
    </row>
    <row r="119" spans="1:10" x14ac:dyDescent="0.2">
      <c r="A119">
        <f t="shared" si="21"/>
        <v>1200000000</v>
      </c>
      <c r="B119">
        <f t="shared" si="15"/>
        <v>0</v>
      </c>
      <c r="C119">
        <f t="shared" si="16"/>
        <v>0</v>
      </c>
      <c r="D119">
        <f t="shared" si="16"/>
        <v>0</v>
      </c>
      <c r="E119">
        <f t="shared" si="16"/>
        <v>0</v>
      </c>
      <c r="F119">
        <f t="shared" si="22"/>
        <v>0</v>
      </c>
      <c r="G119">
        <f t="shared" si="23"/>
        <v>0</v>
      </c>
      <c r="H119">
        <f t="shared" si="24"/>
        <v>0</v>
      </c>
      <c r="I119">
        <f t="shared" si="25"/>
        <v>0</v>
      </c>
      <c r="J119">
        <f t="shared" si="13"/>
        <v>0</v>
      </c>
    </row>
    <row r="120" spans="1:10" x14ac:dyDescent="0.2">
      <c r="A120">
        <f t="shared" si="21"/>
        <v>1500000000</v>
      </c>
      <c r="B120">
        <f t="shared" si="15"/>
        <v>0</v>
      </c>
      <c r="C120">
        <f t="shared" si="16"/>
        <v>0</v>
      </c>
      <c r="D120">
        <f t="shared" si="16"/>
        <v>0</v>
      </c>
      <c r="E120">
        <f t="shared" si="16"/>
        <v>0</v>
      </c>
      <c r="F120">
        <f t="shared" si="22"/>
        <v>0</v>
      </c>
      <c r="G120">
        <f t="shared" si="23"/>
        <v>0</v>
      </c>
      <c r="H120">
        <f t="shared" si="24"/>
        <v>0</v>
      </c>
      <c r="I120">
        <f t="shared" si="25"/>
        <v>0</v>
      </c>
      <c r="J120">
        <f t="shared" si="13"/>
        <v>0</v>
      </c>
    </row>
    <row r="121" spans="1:10" x14ac:dyDescent="0.2">
      <c r="A121">
        <f t="shared" si="21"/>
        <v>1800000000</v>
      </c>
      <c r="B121">
        <f t="shared" si="15"/>
        <v>0</v>
      </c>
      <c r="C121">
        <f t="shared" si="16"/>
        <v>0</v>
      </c>
      <c r="D121">
        <f t="shared" si="16"/>
        <v>0</v>
      </c>
      <c r="E121">
        <f t="shared" si="16"/>
        <v>0</v>
      </c>
      <c r="F121">
        <f t="shared" si="22"/>
        <v>0</v>
      </c>
      <c r="G121">
        <f t="shared" si="23"/>
        <v>0</v>
      </c>
      <c r="H121">
        <f t="shared" si="24"/>
        <v>0</v>
      </c>
      <c r="I121">
        <f t="shared" si="25"/>
        <v>0</v>
      </c>
      <c r="J121">
        <f t="shared" si="13"/>
        <v>0</v>
      </c>
    </row>
    <row r="122" spans="1:10" x14ac:dyDescent="0.2">
      <c r="A122">
        <f t="shared" si="21"/>
        <v>2200000000</v>
      </c>
      <c r="B122">
        <f t="shared" si="15"/>
        <v>0</v>
      </c>
      <c r="C122">
        <f t="shared" si="16"/>
        <v>0</v>
      </c>
      <c r="D122">
        <f t="shared" si="16"/>
        <v>0</v>
      </c>
      <c r="E122">
        <f t="shared" si="16"/>
        <v>0</v>
      </c>
      <c r="F122">
        <f t="shared" si="22"/>
        <v>0</v>
      </c>
      <c r="G122">
        <f t="shared" si="23"/>
        <v>0</v>
      </c>
      <c r="H122">
        <f t="shared" si="24"/>
        <v>0</v>
      </c>
      <c r="I122">
        <f t="shared" si="25"/>
        <v>0</v>
      </c>
      <c r="J122">
        <f t="shared" si="13"/>
        <v>0</v>
      </c>
    </row>
    <row r="123" spans="1:10" x14ac:dyDescent="0.2">
      <c r="A123">
        <f t="shared" si="21"/>
        <v>2700000000</v>
      </c>
      <c r="B123">
        <f t="shared" si="15"/>
        <v>0</v>
      </c>
      <c r="C123">
        <f t="shared" si="16"/>
        <v>0</v>
      </c>
      <c r="D123">
        <f t="shared" si="16"/>
        <v>0</v>
      </c>
      <c r="E123">
        <f t="shared" si="16"/>
        <v>0</v>
      </c>
      <c r="F123">
        <f t="shared" si="22"/>
        <v>0</v>
      </c>
      <c r="G123">
        <f t="shared" si="23"/>
        <v>0</v>
      </c>
      <c r="H123">
        <f t="shared" si="24"/>
        <v>0</v>
      </c>
      <c r="I123">
        <f t="shared" si="25"/>
        <v>0</v>
      </c>
      <c r="J123">
        <f t="shared" si="13"/>
        <v>0</v>
      </c>
    </row>
    <row r="124" spans="1:10" x14ac:dyDescent="0.2">
      <c r="A124">
        <f t="shared" si="21"/>
        <v>3300000000</v>
      </c>
      <c r="B124">
        <f t="shared" si="15"/>
        <v>0</v>
      </c>
      <c r="C124">
        <f t="shared" si="16"/>
        <v>0</v>
      </c>
      <c r="D124">
        <f t="shared" si="16"/>
        <v>0</v>
      </c>
      <c r="E124">
        <f t="shared" si="16"/>
        <v>0</v>
      </c>
      <c r="F124">
        <f t="shared" si="22"/>
        <v>0</v>
      </c>
      <c r="G124">
        <f t="shared" si="23"/>
        <v>0</v>
      </c>
      <c r="H124">
        <f t="shared" si="24"/>
        <v>0</v>
      </c>
      <c r="I124">
        <f t="shared" si="25"/>
        <v>0</v>
      </c>
      <c r="J124">
        <f t="shared" si="13"/>
        <v>0</v>
      </c>
    </row>
    <row r="125" spans="1:10" x14ac:dyDescent="0.2">
      <c r="A125">
        <f t="shared" si="21"/>
        <v>3900000000</v>
      </c>
      <c r="B125">
        <f t="shared" si="15"/>
        <v>0</v>
      </c>
      <c r="C125">
        <f t="shared" si="16"/>
        <v>0</v>
      </c>
      <c r="D125">
        <f t="shared" si="16"/>
        <v>0</v>
      </c>
      <c r="E125">
        <f t="shared" si="16"/>
        <v>0</v>
      </c>
      <c r="F125">
        <f t="shared" si="22"/>
        <v>0</v>
      </c>
      <c r="G125">
        <f t="shared" si="23"/>
        <v>0</v>
      </c>
      <c r="H125">
        <f t="shared" si="24"/>
        <v>0</v>
      </c>
      <c r="I125">
        <f t="shared" si="25"/>
        <v>0</v>
      </c>
      <c r="J125">
        <f t="shared" si="13"/>
        <v>0</v>
      </c>
    </row>
    <row r="126" spans="1:10" x14ac:dyDescent="0.2">
      <c r="A126">
        <f t="shared" si="21"/>
        <v>4700000000</v>
      </c>
      <c r="B126">
        <f t="shared" si="15"/>
        <v>0</v>
      </c>
      <c r="C126">
        <f t="shared" si="16"/>
        <v>0</v>
      </c>
      <c r="D126">
        <f t="shared" si="16"/>
        <v>0</v>
      </c>
      <c r="E126">
        <f t="shared" si="16"/>
        <v>0</v>
      </c>
      <c r="F126">
        <f t="shared" si="22"/>
        <v>0</v>
      </c>
      <c r="G126">
        <f t="shared" si="23"/>
        <v>0</v>
      </c>
      <c r="H126">
        <f t="shared" si="24"/>
        <v>0</v>
      </c>
      <c r="I126">
        <f t="shared" si="25"/>
        <v>0</v>
      </c>
      <c r="J126">
        <f t="shared" si="13"/>
        <v>0</v>
      </c>
    </row>
    <row r="127" spans="1:10" x14ac:dyDescent="0.2">
      <c r="A127">
        <f t="shared" si="21"/>
        <v>5600000000</v>
      </c>
      <c r="B127">
        <f t="shared" si="15"/>
        <v>0</v>
      </c>
      <c r="C127">
        <f t="shared" si="16"/>
        <v>0</v>
      </c>
      <c r="D127">
        <f t="shared" si="16"/>
        <v>0</v>
      </c>
      <c r="E127">
        <f t="shared" si="16"/>
        <v>0</v>
      </c>
      <c r="F127">
        <f t="shared" si="22"/>
        <v>0</v>
      </c>
      <c r="G127">
        <f t="shared" si="23"/>
        <v>0</v>
      </c>
      <c r="H127">
        <f t="shared" si="24"/>
        <v>0</v>
      </c>
      <c r="I127">
        <f t="shared" si="25"/>
        <v>0</v>
      </c>
      <c r="J127">
        <f t="shared" si="13"/>
        <v>0</v>
      </c>
    </row>
    <row r="128" spans="1:10" x14ac:dyDescent="0.2">
      <c r="A128">
        <f t="shared" si="21"/>
        <v>6800000000</v>
      </c>
      <c r="B128">
        <f t="shared" si="15"/>
        <v>0</v>
      </c>
      <c r="C128">
        <f t="shared" si="16"/>
        <v>0</v>
      </c>
      <c r="D128">
        <f t="shared" si="16"/>
        <v>0</v>
      </c>
      <c r="E128">
        <f t="shared" si="16"/>
        <v>0</v>
      </c>
      <c r="F128">
        <f t="shared" si="22"/>
        <v>0</v>
      </c>
      <c r="G128">
        <f t="shared" si="23"/>
        <v>0</v>
      </c>
      <c r="H128">
        <f t="shared" si="24"/>
        <v>0</v>
      </c>
      <c r="I128">
        <f t="shared" si="25"/>
        <v>0</v>
      </c>
      <c r="J128">
        <f t="shared" si="13"/>
        <v>0</v>
      </c>
    </row>
    <row r="129" spans="1:10" x14ac:dyDescent="0.2">
      <c r="A129">
        <f t="shared" si="21"/>
        <v>8200000000</v>
      </c>
      <c r="B129">
        <f t="shared" si="15"/>
        <v>0</v>
      </c>
      <c r="C129">
        <f t="shared" si="16"/>
        <v>0</v>
      </c>
      <c r="D129">
        <f t="shared" si="16"/>
        <v>0</v>
      </c>
      <c r="E129">
        <f t="shared" si="16"/>
        <v>0</v>
      </c>
      <c r="F129">
        <f t="shared" si="22"/>
        <v>0</v>
      </c>
      <c r="G129">
        <f t="shared" si="23"/>
        <v>0</v>
      </c>
      <c r="H129">
        <f t="shared" si="24"/>
        <v>0</v>
      </c>
      <c r="I129">
        <f t="shared" si="25"/>
        <v>0</v>
      </c>
      <c r="J129">
        <f t="shared" si="13"/>
        <v>0</v>
      </c>
    </row>
    <row r="130" spans="1:10" x14ac:dyDescent="0.2">
      <c r="A130">
        <f t="shared" si="21"/>
        <v>10000000000</v>
      </c>
      <c r="B130">
        <f t="shared" si="15"/>
        <v>0</v>
      </c>
      <c r="C130">
        <f t="shared" si="16"/>
        <v>0</v>
      </c>
      <c r="D130">
        <f t="shared" si="16"/>
        <v>0</v>
      </c>
      <c r="E130">
        <f t="shared" si="16"/>
        <v>0</v>
      </c>
      <c r="F130">
        <f t="shared" si="22"/>
        <v>0</v>
      </c>
      <c r="G130">
        <f t="shared" si="23"/>
        <v>0</v>
      </c>
      <c r="H130">
        <f t="shared" si="24"/>
        <v>0</v>
      </c>
      <c r="I130">
        <f t="shared" si="25"/>
        <v>0</v>
      </c>
      <c r="J130">
        <f t="shared" si="13"/>
        <v>0</v>
      </c>
    </row>
    <row r="131" spans="1:10" x14ac:dyDescent="0.2">
      <c r="A131">
        <f t="shared" si="21"/>
        <v>12000000000</v>
      </c>
      <c r="B131">
        <f t="shared" si="15"/>
        <v>0</v>
      </c>
      <c r="C131">
        <f t="shared" si="16"/>
        <v>0</v>
      </c>
      <c r="D131">
        <f t="shared" si="16"/>
        <v>0</v>
      </c>
      <c r="E131">
        <f t="shared" si="16"/>
        <v>0</v>
      </c>
      <c r="F131">
        <f t="shared" si="22"/>
        <v>0</v>
      </c>
      <c r="G131">
        <f t="shared" si="23"/>
        <v>0</v>
      </c>
      <c r="H131">
        <f t="shared" si="24"/>
        <v>0</v>
      </c>
      <c r="I131">
        <f t="shared" si="25"/>
        <v>0</v>
      </c>
      <c r="J131">
        <f t="shared" si="13"/>
        <v>0</v>
      </c>
    </row>
    <row r="132" spans="1:10" x14ac:dyDescent="0.2">
      <c r="A132">
        <f t="shared" si="21"/>
        <v>15000000000</v>
      </c>
      <c r="B132">
        <f t="shared" si="15"/>
        <v>0</v>
      </c>
      <c r="C132">
        <f t="shared" si="16"/>
        <v>0</v>
      </c>
      <c r="D132">
        <f t="shared" si="16"/>
        <v>0</v>
      </c>
      <c r="E132">
        <f t="shared" si="16"/>
        <v>0</v>
      </c>
      <c r="F132">
        <f t="shared" si="22"/>
        <v>0</v>
      </c>
      <c r="G132">
        <f t="shared" si="23"/>
        <v>0</v>
      </c>
      <c r="H132">
        <f t="shared" si="24"/>
        <v>0</v>
      </c>
      <c r="I132">
        <f t="shared" si="25"/>
        <v>0</v>
      </c>
      <c r="J132">
        <f t="shared" si="13"/>
        <v>0</v>
      </c>
    </row>
    <row r="133" spans="1:10" x14ac:dyDescent="0.2">
      <c r="A133">
        <f t="shared" si="21"/>
        <v>18000000000</v>
      </c>
      <c r="B133">
        <f t="shared" si="15"/>
        <v>0</v>
      </c>
      <c r="C133">
        <f t="shared" si="16"/>
        <v>0</v>
      </c>
      <c r="D133">
        <f t="shared" si="16"/>
        <v>0</v>
      </c>
      <c r="E133">
        <f t="shared" si="16"/>
        <v>0</v>
      </c>
      <c r="F133">
        <f t="shared" si="22"/>
        <v>0</v>
      </c>
      <c r="G133">
        <f t="shared" si="23"/>
        <v>0</v>
      </c>
      <c r="H133">
        <f t="shared" si="24"/>
        <v>0</v>
      </c>
      <c r="I133">
        <f t="shared" si="25"/>
        <v>0</v>
      </c>
      <c r="J133">
        <f>IF(IF((J$3*10^12-$A134)*(J$3*10^12-$A133)*-1&lt;0,0,1)*IF(ABS(J$3*10^12-$A134)&gt;(J$3*10^12-$A133),$A133,$A134)=J134,0,IF((J$3*10^12-$A134)*(J$3*10^12-$A133)*-1&lt;0,0,1)*IF(ABS(J$3*10^12-$A134)&gt;(J$3*10^12-$A133),$A133,$A134))</f>
        <v>0</v>
      </c>
    </row>
    <row r="134" spans="1:10" x14ac:dyDescent="0.2">
      <c r="A134">
        <f t="shared" si="21"/>
        <v>22000000000</v>
      </c>
      <c r="B134">
        <f t="shared" si="15"/>
        <v>0</v>
      </c>
      <c r="C134">
        <f t="shared" si="16"/>
        <v>0</v>
      </c>
      <c r="D134">
        <f t="shared" si="16"/>
        <v>0</v>
      </c>
      <c r="E134">
        <f t="shared" ref="E134:J159" si="26">IF(IF((E$3*10^12-$A135)*(E$3*10^12-$A134)*-1&lt;0,0,1)*IF(ABS(E$3*10^12-$A135)&gt;(E$3*10^12-$A134),$A134,$A135)=E135,0,IF((E$3*10^12-$A135)*(E$3*10^12-$A134)*-1&lt;0,0,1)*IF(ABS(E$3*10^12-$A135)&gt;(E$3*10^12-$A134),$A134,$A135))</f>
        <v>0</v>
      </c>
      <c r="F134">
        <f t="shared" si="22"/>
        <v>0</v>
      </c>
      <c r="G134">
        <f t="shared" si="23"/>
        <v>0</v>
      </c>
      <c r="H134">
        <f t="shared" si="24"/>
        <v>0</v>
      </c>
      <c r="I134">
        <f t="shared" si="25"/>
        <v>0</v>
      </c>
      <c r="J134">
        <f>IF(IF((J$3*10^12-$A135)*(J$3*10^12-$A134)*-1&lt;0,0,1)*IF(ABS(J$3*10^12-$A135)&gt;(J$3*10^12-$A134),$A134,$A135)=J135,0,IF((J$3*10^12-$A135)*(J$3*10^12-$A134)*-1&lt;0,0,1)*IF(ABS(J$3*10^12-$A135)&gt;(J$3*10^12-$A134),$A134,$A135))</f>
        <v>0</v>
      </c>
    </row>
    <row r="135" spans="1:10" x14ac:dyDescent="0.2">
      <c r="A135">
        <f t="shared" si="21"/>
        <v>27000000000</v>
      </c>
      <c r="B135">
        <f t="shared" ref="B135:B159" si="27">IF(IF((B$3*10^12-$A136)*(B$3*10^12-$A135)*-1&lt;0,0,1)*IF(ABS(B$3*10^12-$A136)&gt;(B$3*10^12-$A135),$A135,$A136)=B136,0,IF((B$3*10^12-$A136)*(B$3*10^12-$A135)*-1&lt;0,0,1)*IF(ABS(B$3*10^12-$A136)&gt;(B$3*10^12-$A135),$A135,$A136))</f>
        <v>0</v>
      </c>
      <c r="C135">
        <f t="shared" ref="C135:D159" si="28">IF(IF((C$3*10^12-$A136)*(C$3*10^12-$A135)*-1&lt;0,0,1)*IF(ABS(C$3*10^12-$A136)&gt;(C$3*10^12-$A135),$A135,$A136)=C136,0,IF((C$3*10^12-$A136)*(C$3*10^12-$A135)*-1&lt;0,0,1)*IF(ABS(C$3*10^12-$A136)&gt;(C$3*10^12-$A135),$A135,$A136))</f>
        <v>0</v>
      </c>
      <c r="D135">
        <f t="shared" si="28"/>
        <v>0</v>
      </c>
      <c r="E135">
        <f t="shared" si="26"/>
        <v>0</v>
      </c>
      <c r="F135">
        <f t="shared" si="26"/>
        <v>0</v>
      </c>
      <c r="G135">
        <f t="shared" si="26"/>
        <v>0</v>
      </c>
      <c r="H135">
        <f t="shared" si="26"/>
        <v>0</v>
      </c>
      <c r="I135">
        <f t="shared" si="26"/>
        <v>0</v>
      </c>
      <c r="J135">
        <f t="shared" si="26"/>
        <v>0</v>
      </c>
    </row>
    <row r="136" spans="1:10" x14ac:dyDescent="0.2">
      <c r="A136">
        <f t="shared" si="21"/>
        <v>33000000000</v>
      </c>
      <c r="B136">
        <f t="shared" si="27"/>
        <v>0</v>
      </c>
      <c r="C136">
        <f t="shared" si="28"/>
        <v>0</v>
      </c>
      <c r="D136">
        <f t="shared" si="28"/>
        <v>0</v>
      </c>
      <c r="E136">
        <f t="shared" si="26"/>
        <v>0</v>
      </c>
      <c r="F136">
        <f t="shared" si="26"/>
        <v>0</v>
      </c>
      <c r="G136">
        <f t="shared" si="26"/>
        <v>0</v>
      </c>
      <c r="H136">
        <f t="shared" si="26"/>
        <v>0</v>
      </c>
      <c r="I136">
        <f t="shared" si="26"/>
        <v>0</v>
      </c>
      <c r="J136">
        <f t="shared" si="26"/>
        <v>0</v>
      </c>
    </row>
    <row r="137" spans="1:10" x14ac:dyDescent="0.2">
      <c r="A137">
        <f t="shared" si="21"/>
        <v>39000000000</v>
      </c>
      <c r="B137">
        <f t="shared" si="27"/>
        <v>0</v>
      </c>
      <c r="C137">
        <f t="shared" si="28"/>
        <v>0</v>
      </c>
      <c r="D137">
        <f t="shared" si="28"/>
        <v>0</v>
      </c>
      <c r="E137">
        <f t="shared" si="26"/>
        <v>0</v>
      </c>
      <c r="F137">
        <f t="shared" si="26"/>
        <v>0</v>
      </c>
      <c r="G137">
        <f t="shared" si="26"/>
        <v>0</v>
      </c>
      <c r="H137">
        <f t="shared" si="26"/>
        <v>0</v>
      </c>
      <c r="I137">
        <f t="shared" si="26"/>
        <v>0</v>
      </c>
      <c r="J137">
        <f t="shared" si="26"/>
        <v>0</v>
      </c>
    </row>
    <row r="138" spans="1:10" x14ac:dyDescent="0.2">
      <c r="A138">
        <f t="shared" si="21"/>
        <v>47000000000</v>
      </c>
      <c r="B138">
        <f t="shared" si="27"/>
        <v>0</v>
      </c>
      <c r="C138">
        <f t="shared" si="28"/>
        <v>0</v>
      </c>
      <c r="D138">
        <f t="shared" si="28"/>
        <v>0</v>
      </c>
      <c r="E138">
        <f t="shared" si="26"/>
        <v>0</v>
      </c>
      <c r="F138">
        <f t="shared" si="26"/>
        <v>0</v>
      </c>
      <c r="G138">
        <f t="shared" si="26"/>
        <v>0</v>
      </c>
      <c r="H138">
        <f t="shared" si="26"/>
        <v>0</v>
      </c>
      <c r="I138">
        <f t="shared" si="26"/>
        <v>0</v>
      </c>
      <c r="J138">
        <f t="shared" si="26"/>
        <v>0</v>
      </c>
    </row>
    <row r="139" spans="1:10" x14ac:dyDescent="0.2">
      <c r="A139">
        <f t="shared" si="21"/>
        <v>56000000000</v>
      </c>
      <c r="B139">
        <f t="shared" si="27"/>
        <v>0</v>
      </c>
      <c r="C139">
        <f t="shared" si="28"/>
        <v>0</v>
      </c>
      <c r="D139">
        <f t="shared" si="28"/>
        <v>0</v>
      </c>
      <c r="E139">
        <f t="shared" si="26"/>
        <v>0</v>
      </c>
      <c r="F139">
        <f t="shared" si="26"/>
        <v>0</v>
      </c>
      <c r="G139">
        <f t="shared" si="26"/>
        <v>0</v>
      </c>
      <c r="H139">
        <f t="shared" si="26"/>
        <v>0</v>
      </c>
      <c r="I139">
        <f t="shared" si="26"/>
        <v>0</v>
      </c>
      <c r="J139">
        <f t="shared" si="26"/>
        <v>0</v>
      </c>
    </row>
    <row r="140" spans="1:10" x14ac:dyDescent="0.2">
      <c r="A140">
        <f t="shared" si="21"/>
        <v>68000000000</v>
      </c>
      <c r="B140">
        <f t="shared" si="27"/>
        <v>0</v>
      </c>
      <c r="C140">
        <f t="shared" si="28"/>
        <v>0</v>
      </c>
      <c r="D140">
        <f t="shared" si="28"/>
        <v>0</v>
      </c>
      <c r="E140">
        <f t="shared" si="26"/>
        <v>0</v>
      </c>
      <c r="F140">
        <f t="shared" si="26"/>
        <v>0</v>
      </c>
      <c r="G140">
        <f t="shared" si="26"/>
        <v>0</v>
      </c>
      <c r="H140">
        <f t="shared" si="26"/>
        <v>0</v>
      </c>
      <c r="I140">
        <f t="shared" si="26"/>
        <v>0</v>
      </c>
      <c r="J140">
        <f t="shared" si="26"/>
        <v>0</v>
      </c>
    </row>
    <row r="141" spans="1:10" x14ac:dyDescent="0.2">
      <c r="A141">
        <f t="shared" si="21"/>
        <v>82000000000</v>
      </c>
      <c r="B141">
        <f t="shared" si="27"/>
        <v>0</v>
      </c>
      <c r="C141">
        <f t="shared" si="28"/>
        <v>0</v>
      </c>
      <c r="D141">
        <f t="shared" si="28"/>
        <v>0</v>
      </c>
      <c r="E141">
        <f t="shared" si="26"/>
        <v>0</v>
      </c>
      <c r="F141">
        <f t="shared" si="26"/>
        <v>0</v>
      </c>
      <c r="G141">
        <f t="shared" si="26"/>
        <v>0</v>
      </c>
      <c r="H141">
        <f t="shared" si="26"/>
        <v>0</v>
      </c>
      <c r="I141">
        <f t="shared" si="26"/>
        <v>0</v>
      </c>
      <c r="J141">
        <f t="shared" si="26"/>
        <v>0</v>
      </c>
    </row>
    <row r="142" spans="1:10" x14ac:dyDescent="0.2">
      <c r="A142">
        <f t="shared" si="21"/>
        <v>100000000000</v>
      </c>
      <c r="B142">
        <f t="shared" si="27"/>
        <v>0</v>
      </c>
      <c r="C142">
        <f t="shared" si="28"/>
        <v>0</v>
      </c>
      <c r="D142">
        <f t="shared" si="28"/>
        <v>0</v>
      </c>
      <c r="E142">
        <f t="shared" si="26"/>
        <v>0</v>
      </c>
      <c r="F142">
        <f t="shared" si="26"/>
        <v>0</v>
      </c>
      <c r="G142">
        <f t="shared" si="26"/>
        <v>0</v>
      </c>
      <c r="H142">
        <f t="shared" si="26"/>
        <v>0</v>
      </c>
      <c r="I142">
        <f t="shared" si="26"/>
        <v>0</v>
      </c>
      <c r="J142">
        <f t="shared" si="26"/>
        <v>0</v>
      </c>
    </row>
    <row r="143" spans="1:10" x14ac:dyDescent="0.2">
      <c r="A143">
        <f t="shared" si="21"/>
        <v>120000000000</v>
      </c>
      <c r="B143">
        <f t="shared" si="27"/>
        <v>0</v>
      </c>
      <c r="C143">
        <f t="shared" si="28"/>
        <v>0</v>
      </c>
      <c r="D143">
        <f t="shared" si="28"/>
        <v>0</v>
      </c>
      <c r="E143">
        <f t="shared" si="26"/>
        <v>0</v>
      </c>
      <c r="F143">
        <f t="shared" si="26"/>
        <v>0</v>
      </c>
      <c r="G143">
        <f t="shared" si="26"/>
        <v>0</v>
      </c>
      <c r="H143">
        <f t="shared" si="26"/>
        <v>0</v>
      </c>
      <c r="I143">
        <f t="shared" si="26"/>
        <v>0</v>
      </c>
      <c r="J143">
        <f t="shared" si="26"/>
        <v>0</v>
      </c>
    </row>
    <row r="144" spans="1:10" x14ac:dyDescent="0.2">
      <c r="A144">
        <f t="shared" si="21"/>
        <v>150000000000</v>
      </c>
      <c r="B144">
        <f t="shared" si="27"/>
        <v>0</v>
      </c>
      <c r="C144">
        <f t="shared" si="28"/>
        <v>0</v>
      </c>
      <c r="D144">
        <f t="shared" si="28"/>
        <v>0</v>
      </c>
      <c r="E144">
        <f t="shared" si="26"/>
        <v>0</v>
      </c>
      <c r="F144">
        <f t="shared" si="26"/>
        <v>0</v>
      </c>
      <c r="G144">
        <f t="shared" si="26"/>
        <v>0</v>
      </c>
      <c r="H144">
        <f t="shared" si="26"/>
        <v>0</v>
      </c>
      <c r="I144">
        <f t="shared" si="26"/>
        <v>0</v>
      </c>
      <c r="J144">
        <f t="shared" si="26"/>
        <v>0</v>
      </c>
    </row>
    <row r="145" spans="1:10" x14ac:dyDescent="0.2">
      <c r="A145">
        <f t="shared" si="21"/>
        <v>180000000000</v>
      </c>
      <c r="B145">
        <f t="shared" si="27"/>
        <v>0</v>
      </c>
      <c r="C145">
        <f t="shared" si="28"/>
        <v>0</v>
      </c>
      <c r="D145">
        <f t="shared" si="28"/>
        <v>0</v>
      </c>
      <c r="E145">
        <f t="shared" si="26"/>
        <v>0</v>
      </c>
      <c r="F145">
        <f t="shared" si="26"/>
        <v>0</v>
      </c>
      <c r="G145">
        <f t="shared" si="26"/>
        <v>0</v>
      </c>
      <c r="H145">
        <f t="shared" si="26"/>
        <v>0</v>
      </c>
      <c r="I145">
        <f t="shared" si="26"/>
        <v>0</v>
      </c>
      <c r="J145">
        <f t="shared" si="26"/>
        <v>0</v>
      </c>
    </row>
    <row r="146" spans="1:10" x14ac:dyDescent="0.2">
      <c r="A146">
        <f t="shared" si="21"/>
        <v>220000000000</v>
      </c>
      <c r="B146">
        <f t="shared" si="27"/>
        <v>0</v>
      </c>
      <c r="C146">
        <f t="shared" si="28"/>
        <v>0</v>
      </c>
      <c r="D146">
        <f t="shared" si="28"/>
        <v>0</v>
      </c>
      <c r="E146">
        <f t="shared" si="26"/>
        <v>0</v>
      </c>
      <c r="F146">
        <f t="shared" si="26"/>
        <v>0</v>
      </c>
      <c r="G146">
        <f t="shared" si="26"/>
        <v>0</v>
      </c>
      <c r="H146">
        <f t="shared" si="26"/>
        <v>0</v>
      </c>
      <c r="I146">
        <f t="shared" si="26"/>
        <v>0</v>
      </c>
      <c r="J146">
        <f t="shared" si="26"/>
        <v>0</v>
      </c>
    </row>
    <row r="147" spans="1:10" x14ac:dyDescent="0.2">
      <c r="A147">
        <f t="shared" si="21"/>
        <v>270000000000</v>
      </c>
      <c r="B147">
        <f t="shared" si="27"/>
        <v>0</v>
      </c>
      <c r="C147">
        <f t="shared" si="28"/>
        <v>0</v>
      </c>
      <c r="D147">
        <f t="shared" si="28"/>
        <v>0</v>
      </c>
      <c r="E147">
        <f t="shared" si="26"/>
        <v>0</v>
      </c>
      <c r="F147">
        <f t="shared" si="26"/>
        <v>0</v>
      </c>
      <c r="G147">
        <f t="shared" si="26"/>
        <v>0</v>
      </c>
      <c r="H147">
        <f t="shared" si="26"/>
        <v>0</v>
      </c>
      <c r="I147">
        <f t="shared" si="26"/>
        <v>0</v>
      </c>
      <c r="J147">
        <f t="shared" si="26"/>
        <v>0</v>
      </c>
    </row>
    <row r="148" spans="1:10" x14ac:dyDescent="0.2">
      <c r="A148">
        <f t="shared" si="21"/>
        <v>330000000000</v>
      </c>
      <c r="B148">
        <f t="shared" si="27"/>
        <v>0</v>
      </c>
      <c r="C148">
        <f t="shared" si="28"/>
        <v>0</v>
      </c>
      <c r="D148">
        <f t="shared" si="28"/>
        <v>0</v>
      </c>
      <c r="E148">
        <f t="shared" si="26"/>
        <v>0</v>
      </c>
      <c r="F148">
        <f t="shared" si="26"/>
        <v>0</v>
      </c>
      <c r="G148">
        <f t="shared" si="26"/>
        <v>0</v>
      </c>
      <c r="H148">
        <f t="shared" si="26"/>
        <v>0</v>
      </c>
      <c r="I148">
        <f t="shared" si="26"/>
        <v>0</v>
      </c>
      <c r="J148">
        <f t="shared" si="26"/>
        <v>0</v>
      </c>
    </row>
    <row r="149" spans="1:10" x14ac:dyDescent="0.2">
      <c r="A149">
        <f t="shared" si="21"/>
        <v>390000000000</v>
      </c>
      <c r="B149">
        <f t="shared" si="27"/>
        <v>0</v>
      </c>
      <c r="C149">
        <f t="shared" si="28"/>
        <v>0</v>
      </c>
      <c r="D149">
        <f t="shared" si="28"/>
        <v>0</v>
      </c>
      <c r="E149">
        <f t="shared" si="26"/>
        <v>0</v>
      </c>
      <c r="F149">
        <f t="shared" si="26"/>
        <v>0</v>
      </c>
      <c r="G149">
        <f t="shared" si="26"/>
        <v>0</v>
      </c>
      <c r="H149">
        <f t="shared" si="26"/>
        <v>0</v>
      </c>
      <c r="I149">
        <f t="shared" si="26"/>
        <v>0</v>
      </c>
      <c r="J149">
        <f t="shared" si="26"/>
        <v>0</v>
      </c>
    </row>
    <row r="150" spans="1:10" x14ac:dyDescent="0.2">
      <c r="A150">
        <f t="shared" si="21"/>
        <v>470000000000</v>
      </c>
      <c r="B150">
        <f t="shared" si="27"/>
        <v>0</v>
      </c>
      <c r="C150">
        <f t="shared" si="28"/>
        <v>0</v>
      </c>
      <c r="D150">
        <f t="shared" si="28"/>
        <v>0</v>
      </c>
      <c r="E150">
        <f t="shared" si="26"/>
        <v>0</v>
      </c>
      <c r="F150">
        <f t="shared" si="26"/>
        <v>0</v>
      </c>
      <c r="G150">
        <f t="shared" si="26"/>
        <v>0</v>
      </c>
      <c r="H150">
        <f t="shared" si="26"/>
        <v>0</v>
      </c>
      <c r="I150">
        <f t="shared" si="26"/>
        <v>0</v>
      </c>
      <c r="J150">
        <f t="shared" si="26"/>
        <v>0</v>
      </c>
    </row>
    <row r="151" spans="1:10" x14ac:dyDescent="0.2">
      <c r="A151">
        <f t="shared" si="21"/>
        <v>560000000000</v>
      </c>
      <c r="B151">
        <f t="shared" si="27"/>
        <v>0</v>
      </c>
      <c r="C151">
        <f t="shared" si="28"/>
        <v>0</v>
      </c>
      <c r="D151">
        <f t="shared" si="28"/>
        <v>0</v>
      </c>
      <c r="E151">
        <f t="shared" si="26"/>
        <v>0</v>
      </c>
      <c r="F151">
        <f t="shared" si="26"/>
        <v>0</v>
      </c>
      <c r="G151">
        <f t="shared" si="26"/>
        <v>0</v>
      </c>
      <c r="H151">
        <f t="shared" si="26"/>
        <v>0</v>
      </c>
      <c r="I151">
        <f t="shared" si="26"/>
        <v>0</v>
      </c>
      <c r="J151">
        <f t="shared" si="26"/>
        <v>0</v>
      </c>
    </row>
    <row r="152" spans="1:10" x14ac:dyDescent="0.2">
      <c r="A152">
        <f t="shared" si="21"/>
        <v>680000000000</v>
      </c>
      <c r="B152">
        <f t="shared" si="27"/>
        <v>0</v>
      </c>
      <c r="C152">
        <f t="shared" si="28"/>
        <v>0</v>
      </c>
      <c r="D152">
        <f t="shared" si="28"/>
        <v>0</v>
      </c>
      <c r="E152">
        <f t="shared" si="26"/>
        <v>0</v>
      </c>
      <c r="F152">
        <f t="shared" si="26"/>
        <v>0</v>
      </c>
      <c r="G152">
        <f t="shared" si="26"/>
        <v>0</v>
      </c>
      <c r="H152">
        <f t="shared" si="26"/>
        <v>0</v>
      </c>
      <c r="I152">
        <f t="shared" si="26"/>
        <v>0</v>
      </c>
      <c r="J152">
        <f t="shared" si="26"/>
        <v>0</v>
      </c>
    </row>
    <row r="153" spans="1:10" x14ac:dyDescent="0.2">
      <c r="A153">
        <f t="shared" si="21"/>
        <v>820000000000</v>
      </c>
      <c r="B153">
        <f t="shared" si="27"/>
        <v>0</v>
      </c>
      <c r="C153">
        <f t="shared" si="28"/>
        <v>0</v>
      </c>
      <c r="D153">
        <f t="shared" si="28"/>
        <v>0</v>
      </c>
      <c r="E153">
        <f t="shared" si="26"/>
        <v>0</v>
      </c>
      <c r="F153">
        <f t="shared" si="26"/>
        <v>0</v>
      </c>
      <c r="G153">
        <f t="shared" si="26"/>
        <v>0</v>
      </c>
      <c r="H153">
        <f t="shared" si="26"/>
        <v>0</v>
      </c>
      <c r="I153">
        <f t="shared" si="26"/>
        <v>0</v>
      </c>
      <c r="J153">
        <f t="shared" si="26"/>
        <v>0</v>
      </c>
    </row>
    <row r="154" spans="1:10" x14ac:dyDescent="0.2">
      <c r="A154">
        <f t="shared" si="21"/>
        <v>1000000000000</v>
      </c>
      <c r="B154">
        <f t="shared" si="27"/>
        <v>0</v>
      </c>
      <c r="C154">
        <f t="shared" si="28"/>
        <v>0</v>
      </c>
      <c r="D154">
        <f t="shared" si="28"/>
        <v>0</v>
      </c>
      <c r="E154">
        <f t="shared" si="26"/>
        <v>0</v>
      </c>
      <c r="F154">
        <f t="shared" si="26"/>
        <v>0</v>
      </c>
      <c r="G154">
        <f t="shared" si="26"/>
        <v>0</v>
      </c>
      <c r="H154">
        <f t="shared" si="26"/>
        <v>0</v>
      </c>
      <c r="I154">
        <f t="shared" si="26"/>
        <v>0</v>
      </c>
      <c r="J154">
        <f t="shared" si="26"/>
        <v>0</v>
      </c>
    </row>
    <row r="155" spans="1:10" x14ac:dyDescent="0.2">
      <c r="A155">
        <f t="shared" si="21"/>
        <v>1200000000000</v>
      </c>
      <c r="B155">
        <f t="shared" si="27"/>
        <v>0</v>
      </c>
      <c r="C155">
        <f t="shared" si="28"/>
        <v>0</v>
      </c>
      <c r="D155">
        <f t="shared" si="28"/>
        <v>0</v>
      </c>
      <c r="E155">
        <f t="shared" si="26"/>
        <v>0</v>
      </c>
      <c r="F155">
        <f t="shared" si="26"/>
        <v>0</v>
      </c>
      <c r="G155">
        <f t="shared" si="26"/>
        <v>0</v>
      </c>
      <c r="H155">
        <f t="shared" si="26"/>
        <v>0</v>
      </c>
      <c r="I155">
        <f t="shared" si="26"/>
        <v>0</v>
      </c>
      <c r="J155">
        <f t="shared" si="26"/>
        <v>0</v>
      </c>
    </row>
    <row r="156" spans="1:10" x14ac:dyDescent="0.2">
      <c r="A156">
        <f t="shared" si="21"/>
        <v>1500000000000</v>
      </c>
      <c r="B156">
        <f t="shared" si="27"/>
        <v>0</v>
      </c>
      <c r="C156">
        <f t="shared" si="28"/>
        <v>0</v>
      </c>
      <c r="D156">
        <f t="shared" si="28"/>
        <v>0</v>
      </c>
      <c r="E156">
        <f t="shared" si="26"/>
        <v>0</v>
      </c>
      <c r="F156">
        <f t="shared" si="26"/>
        <v>0</v>
      </c>
      <c r="G156">
        <f t="shared" si="26"/>
        <v>0</v>
      </c>
      <c r="H156">
        <f t="shared" si="26"/>
        <v>0</v>
      </c>
      <c r="I156">
        <f t="shared" si="26"/>
        <v>0</v>
      </c>
      <c r="J156">
        <f t="shared" si="26"/>
        <v>0</v>
      </c>
    </row>
    <row r="157" spans="1:10" x14ac:dyDescent="0.2">
      <c r="A157">
        <f t="shared" si="21"/>
        <v>1800000000000</v>
      </c>
      <c r="B157">
        <f t="shared" si="27"/>
        <v>0</v>
      </c>
      <c r="C157">
        <f t="shared" si="28"/>
        <v>0</v>
      </c>
      <c r="D157">
        <f t="shared" si="28"/>
        <v>0</v>
      </c>
      <c r="E157">
        <f t="shared" si="26"/>
        <v>0</v>
      </c>
      <c r="F157">
        <f t="shared" si="26"/>
        <v>0</v>
      </c>
      <c r="G157">
        <f t="shared" si="26"/>
        <v>0</v>
      </c>
      <c r="H157">
        <f t="shared" si="26"/>
        <v>0</v>
      </c>
      <c r="I157">
        <f t="shared" si="26"/>
        <v>0</v>
      </c>
      <c r="J157">
        <f t="shared" si="26"/>
        <v>0</v>
      </c>
    </row>
    <row r="158" spans="1:10" x14ac:dyDescent="0.2">
      <c r="A158">
        <f t="shared" si="21"/>
        <v>2200000000000</v>
      </c>
      <c r="B158">
        <f t="shared" si="27"/>
        <v>0</v>
      </c>
      <c r="C158">
        <f t="shared" si="28"/>
        <v>0</v>
      </c>
      <c r="D158">
        <f t="shared" si="28"/>
        <v>0</v>
      </c>
      <c r="E158">
        <f t="shared" si="26"/>
        <v>0</v>
      </c>
      <c r="F158">
        <f t="shared" si="26"/>
        <v>0</v>
      </c>
      <c r="G158">
        <f t="shared" si="26"/>
        <v>0</v>
      </c>
      <c r="H158">
        <f t="shared" si="26"/>
        <v>0</v>
      </c>
      <c r="I158">
        <f t="shared" si="26"/>
        <v>0</v>
      </c>
      <c r="J158">
        <f t="shared" si="26"/>
        <v>0</v>
      </c>
    </row>
    <row r="159" spans="1:10" x14ac:dyDescent="0.2">
      <c r="A159" s="43">
        <f t="shared" si="21"/>
        <v>2700000000000</v>
      </c>
      <c r="B159">
        <f t="shared" si="27"/>
        <v>2700000000000</v>
      </c>
      <c r="C159">
        <f t="shared" si="28"/>
        <v>2700000000000</v>
      </c>
      <c r="D159">
        <f t="shared" si="28"/>
        <v>2700000000000</v>
      </c>
      <c r="E159">
        <f t="shared" si="26"/>
        <v>2700000000000</v>
      </c>
      <c r="F159">
        <f t="shared" si="26"/>
        <v>2700000000000</v>
      </c>
      <c r="G159">
        <f t="shared" si="26"/>
        <v>2700000000000</v>
      </c>
      <c r="H159">
        <f t="shared" si="26"/>
        <v>2700000000000</v>
      </c>
      <c r="I159">
        <f t="shared" si="26"/>
        <v>2700000000000</v>
      </c>
      <c r="J159">
        <f t="shared" si="26"/>
        <v>2700000000000</v>
      </c>
    </row>
  </sheetData>
  <phoneticPr fontId="5"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7"/>
  <sheetViews>
    <sheetView workbookViewId="0">
      <selection activeCell="B6" sqref="B6"/>
    </sheetView>
  </sheetViews>
  <sheetFormatPr defaultRowHeight="12.75" x14ac:dyDescent="0.2"/>
  <cols>
    <col min="1" max="1" width="18.5703125" customWidth="1"/>
    <col min="2" max="2" width="9.28515625" customWidth="1"/>
    <col min="4" max="4" width="11.140625" customWidth="1"/>
  </cols>
  <sheetData>
    <row r="1" spans="1:5" x14ac:dyDescent="0.2">
      <c r="C1" t="s">
        <v>183</v>
      </c>
      <c r="D1" t="s">
        <v>182</v>
      </c>
    </row>
    <row r="2" spans="1:5" x14ac:dyDescent="0.2">
      <c r="A2" t="s">
        <v>180</v>
      </c>
      <c r="B2" s="47">
        <v>85</v>
      </c>
      <c r="C2" t="s">
        <v>181</v>
      </c>
      <c r="D2">
        <f>B2*1000000</f>
        <v>85000000</v>
      </c>
      <c r="E2" t="s">
        <v>9</v>
      </c>
    </row>
    <row r="3" spans="1:5" x14ac:dyDescent="0.2">
      <c r="A3" t="s">
        <v>184</v>
      </c>
      <c r="B3" s="47">
        <v>3000</v>
      </c>
      <c r="C3" t="s">
        <v>30</v>
      </c>
      <c r="D3">
        <f>B3*0.000000000001</f>
        <v>3E-9</v>
      </c>
      <c r="E3" t="s">
        <v>24</v>
      </c>
    </row>
    <row r="4" spans="1:5" x14ac:dyDescent="0.2">
      <c r="A4" t="s">
        <v>186</v>
      </c>
      <c r="B4" s="48">
        <f>1000000000*1/((D2*2*3.14159)^2*D3)</f>
        <v>1.1686430773614742</v>
      </c>
      <c r="C4" t="s">
        <v>187</v>
      </c>
      <c r="D4">
        <f>B4/1000000000</f>
        <v>1.1686430773614743E-9</v>
      </c>
      <c r="E4" t="s">
        <v>19</v>
      </c>
    </row>
    <row r="5" spans="1:5" x14ac:dyDescent="0.2">
      <c r="A5" t="s">
        <v>185</v>
      </c>
      <c r="B5">
        <f>4*B3</f>
        <v>12000</v>
      </c>
      <c r="C5" t="s">
        <v>30</v>
      </c>
      <c r="D5">
        <f>B5*0.000000000001</f>
        <v>1.2E-8</v>
      </c>
      <c r="E5" t="s">
        <v>24</v>
      </c>
    </row>
    <row r="6" spans="1:5" x14ac:dyDescent="0.2">
      <c r="A6" t="s">
        <v>188</v>
      </c>
      <c r="B6" s="4">
        <f>SQRT(D4/D3)</f>
        <v>0.62413755891936573</v>
      </c>
      <c r="C6" s="4" t="s">
        <v>138</v>
      </c>
      <c r="D6" s="4">
        <f>B6</f>
        <v>0.62413755891936573</v>
      </c>
      <c r="E6" t="s">
        <v>138</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3:E16"/>
  <sheetViews>
    <sheetView workbookViewId="0">
      <selection activeCell="G37" sqref="G37"/>
    </sheetView>
  </sheetViews>
  <sheetFormatPr defaultRowHeight="12.75" x14ac:dyDescent="0.2"/>
  <sheetData>
    <row r="3" spans="1:5" x14ac:dyDescent="0.2">
      <c r="A3" t="s">
        <v>155</v>
      </c>
      <c r="B3" t="e">
        <f>Iripple1</f>
        <v>#NAME?</v>
      </c>
    </row>
    <row r="4" spans="1:5" x14ac:dyDescent="0.2">
      <c r="A4" t="s">
        <v>6</v>
      </c>
      <c r="B4">
        <f>Fsw</f>
        <v>2100000</v>
      </c>
    </row>
    <row r="6" spans="1:5" x14ac:dyDescent="0.2">
      <c r="A6" t="s">
        <v>142</v>
      </c>
      <c r="B6" s="41">
        <v>0.5</v>
      </c>
      <c r="C6" t="s">
        <v>63</v>
      </c>
      <c r="D6">
        <f>B6/1000</f>
        <v>5.0000000000000001E-4</v>
      </c>
      <c r="E6" t="s">
        <v>20</v>
      </c>
    </row>
    <row r="7" spans="1:5" x14ac:dyDescent="0.2">
      <c r="A7" t="s">
        <v>153</v>
      </c>
      <c r="B7" s="41">
        <v>20</v>
      </c>
      <c r="C7" t="s">
        <v>23</v>
      </c>
      <c r="D7">
        <f>B7/1000000</f>
        <v>2.0000000000000002E-5</v>
      </c>
      <c r="E7" t="s">
        <v>24</v>
      </c>
    </row>
    <row r="9" spans="1:5" x14ac:dyDescent="0.2">
      <c r="A9" t="s">
        <v>143</v>
      </c>
      <c r="B9" s="41">
        <v>20</v>
      </c>
      <c r="C9" t="s">
        <v>63</v>
      </c>
      <c r="D9">
        <f>B9/1000</f>
        <v>0.02</v>
      </c>
      <c r="E9" t="s">
        <v>20</v>
      </c>
    </row>
    <row r="10" spans="1:5" x14ac:dyDescent="0.2">
      <c r="A10" t="s">
        <v>154</v>
      </c>
      <c r="B10" s="41">
        <v>68</v>
      </c>
      <c r="C10" t="s">
        <v>23</v>
      </c>
      <c r="D10">
        <f>B10/1000000</f>
        <v>6.7999999999999999E-5</v>
      </c>
      <c r="E10" t="s">
        <v>24</v>
      </c>
    </row>
    <row r="12" spans="1:5" x14ac:dyDescent="0.2">
      <c r="A12" t="s">
        <v>157</v>
      </c>
      <c r="B12">
        <f>(D7/(D7+D10))*SQRT((D9*D10*B4)^2+1)/SQRT((((D6+D9)*D7*D10/(D10+D7))*B4)^2+1)</f>
        <v>0.57258166681452327</v>
      </c>
      <c r="C12" t="s">
        <v>156</v>
      </c>
    </row>
    <row r="13" spans="1:5" x14ac:dyDescent="0.2">
      <c r="A13" t="s">
        <v>158</v>
      </c>
      <c r="B13">
        <f>1-B12</f>
        <v>0.42741833318547673</v>
      </c>
      <c r="C13" t="s">
        <v>156</v>
      </c>
    </row>
    <row r="15" spans="1:5" x14ac:dyDescent="0.2">
      <c r="A15" t="s">
        <v>157</v>
      </c>
      <c r="B15" t="e">
        <f>B12*(Iripple1/(2*SQRT(3)))</f>
        <v>#NAME?</v>
      </c>
      <c r="C15" t="s">
        <v>1</v>
      </c>
    </row>
    <row r="16" spans="1:5" x14ac:dyDescent="0.2">
      <c r="A16" t="s">
        <v>158</v>
      </c>
      <c r="B16" t="e">
        <f>B13*(Iripple1/(2*SQRT(3)))</f>
        <v>#NAME?</v>
      </c>
      <c r="C16"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286</vt:i4>
      </vt:variant>
    </vt:vector>
  </HeadingPairs>
  <TitlesOfParts>
    <vt:vector size="300" baseType="lpstr">
      <vt:lpstr>Design Regulator</vt:lpstr>
      <vt:lpstr>BOM &amp; Schematic</vt:lpstr>
      <vt:lpstr>EVM</vt:lpstr>
      <vt:lpstr>Variable Management</vt:lpstr>
      <vt:lpstr>Stability Calculations</vt:lpstr>
      <vt:lpstr>Ch2 Stability Calculations</vt:lpstr>
      <vt:lpstr>Bode Plot Management</vt:lpstr>
      <vt:lpstr>Efficiency Calculations</vt:lpstr>
      <vt:lpstr>Ch2 Efficiency Calculations</vt:lpstr>
      <vt:lpstr>Efficiency Plot Management</vt:lpstr>
      <vt:lpstr>Schematic Management</vt:lpstr>
      <vt:lpstr>Standard Value Calculator</vt:lpstr>
      <vt:lpstr>Snubber</vt:lpstr>
      <vt:lpstr>Parallel Output Caps</vt:lpstr>
      <vt:lpstr>_Don1</vt:lpstr>
      <vt:lpstr>_Don2</vt:lpstr>
      <vt:lpstr>Acs</vt:lpstr>
      <vt:lpstr>Acs_Ch2</vt:lpstr>
      <vt:lpstr>'Ch2 Stability Calculations'!Adc</vt:lpstr>
      <vt:lpstr>Adc</vt:lpstr>
      <vt:lpstr>AEA</vt:lpstr>
      <vt:lpstr>Afb</vt:lpstr>
      <vt:lpstr>Afb_Ch2</vt:lpstr>
      <vt:lpstr>Am</vt:lpstr>
      <vt:lpstr>Am_buck</vt:lpstr>
      <vt:lpstr>Am_buck_Ch2</vt:lpstr>
      <vt:lpstr>Am_Ch2</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Cdither</vt:lpstr>
      <vt:lpstr>Cdither_init</vt:lpstr>
      <vt:lpstr>Ch1_VOUT</vt:lpstr>
      <vt:lpstr>Ch2_VOUT</vt:lpstr>
      <vt:lpstr>Cin</vt:lpstr>
      <vt:lpstr>CinEsrMax</vt:lpstr>
      <vt:lpstr>Cinmin</vt:lpstr>
      <vt:lpstr>Core_Loss_Ch1</vt:lpstr>
      <vt:lpstr>Coss_Q1</vt:lpstr>
      <vt:lpstr>Coss_Q2</vt:lpstr>
      <vt:lpstr>Coss_Q3</vt:lpstr>
      <vt:lpstr>Coss_Q4</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Fz1_u</vt:lpstr>
      <vt:lpstr>Fz1_u_Ch2</vt:lpstr>
      <vt:lpstr>GBW</vt:lpstr>
      <vt:lpstr>Gfs_Q1</vt:lpstr>
      <vt:lpstr>Gfs_Q2</vt:lpstr>
      <vt:lpstr>Gfs_Q3</vt:lpstr>
      <vt:lpstr>Gfs_Q4</vt:lpstr>
      <vt:lpstr>gm</vt:lpstr>
      <vt:lpstr>Icoutrms</vt:lpstr>
      <vt:lpstr>Iin_Vinmax</vt:lpstr>
      <vt:lpstr>Iin_Vinmin</vt:lpstr>
      <vt:lpstr>Iin_Vinnom</vt:lpstr>
      <vt:lpstr>Ilimit_DC</vt:lpstr>
      <vt:lpstr>Ilimit2_DC</vt:lpstr>
      <vt:lpstr>Iout</vt:lpstr>
      <vt:lpstr>Iout_OCP_Vinmax</vt:lpstr>
      <vt:lpstr>Iout_OCP_Vinmin</vt:lpstr>
      <vt:lpstr>Iout_OCP_Vinnom</vt:lpstr>
      <vt:lpstr>Iout2</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Lf</vt:lpstr>
      <vt:lpstr>Lo_2</vt:lpstr>
      <vt:lpstr>Lopt</vt:lpstr>
      <vt:lpstr>Lopt2</vt:lpstr>
      <vt:lpstr>Ltc</vt:lpstr>
      <vt:lpstr>mc</vt:lpstr>
      <vt:lpstr>mc_buck</vt:lpstr>
      <vt:lpstr>mc_buck_Ch2</vt:lpstr>
      <vt:lpstr>mc_Ch2</vt:lpstr>
      <vt:lpstr>MODE</vt:lpstr>
      <vt:lpstr>Number_of_Phases</vt:lpstr>
      <vt:lpstr>Pi</vt:lpstr>
      <vt:lpstr>Pin</vt:lpstr>
      <vt:lpstr>PLOT_TYPE</vt:lpstr>
      <vt:lpstr>'Ch2 Stability Calculations'!pole1</vt:lpstr>
      <vt:lpstr>pole1</vt:lpstr>
      <vt:lpstr>'Ch2 Stability Calculations'!Pole2</vt:lpstr>
      <vt:lpstr>Pole2</vt:lpstr>
      <vt:lpstr>'Ch2 Stability Calculations'!pole3</vt:lpstr>
      <vt:lpstr>pole3</vt:lpstr>
      <vt:lpstr>'Ch2 Stability Calculations'!pole4</vt:lpstr>
      <vt:lpstr>pole4</vt:lpstr>
      <vt:lpstr>Pout</vt:lpstr>
      <vt:lpstr>'BOM &amp; Schematic'!Print_Area</vt:lpstr>
      <vt:lpstr>'Design Regulator'!Print_Area</vt:lpstr>
      <vt:lpstr>'Ch2 Stability Calculations'!pterm1</vt:lpstr>
      <vt:lpstr>pterm1</vt:lpstr>
      <vt:lpstr>'Ch2 Stability Calculations'!pterm2</vt:lpstr>
      <vt:lpstr>pterm2</vt:lpstr>
      <vt:lpstr>Q</vt:lpstr>
      <vt:lpstr>Q_Ch2</vt:lpstr>
      <vt:lpstr>Qg_Q1</vt:lpstr>
      <vt:lpstr>Qg_Q2</vt:lpstr>
      <vt:lpstr>Qg_Q3</vt:lpstr>
      <vt:lpstr>Qg_Q4</vt:lpstr>
      <vt:lpstr>Qgd_Q1</vt:lpstr>
      <vt:lpstr>Qgd_Q2</vt:lpstr>
      <vt:lpstr>Qgd_Q3</vt:lpstr>
      <vt:lpstr>Qgd_Q4</vt:lpstr>
      <vt:lpstr>Qgs_Q1</vt:lpstr>
      <vt:lpstr>Qgs_Q2</vt:lpstr>
      <vt:lpstr>Qgs_Q3</vt:lpstr>
      <vt:lpstr>Qgs_Q4</vt:lpstr>
      <vt:lpstr>Qoss_Q1</vt:lpstr>
      <vt:lpstr>Qoss_Q2</vt:lpstr>
      <vt:lpstr>Qoss_Q3</vt:lpstr>
      <vt:lpstr>Qoss_Q4</vt:lpstr>
      <vt:lpstr>Qrr_Q2</vt:lpstr>
      <vt:lpstr>Qrr_Q4</vt:lpstr>
      <vt:lpstr>QrrSky_Q2</vt:lpstr>
      <vt:lpstr>QrrSky_Q4</vt:lpstr>
      <vt:lpstr>'Ch2 Stability Calculations'!radconv</vt:lpstr>
      <vt:lpstr>radconv</vt:lpstr>
      <vt:lpstr>Rcea1</vt:lpstr>
      <vt:lpstr>Rcea1_u</vt:lpstr>
      <vt:lpstr>Rcea2</vt:lpstr>
      <vt:lpstr>Rcea2_u</vt:lpstr>
      <vt:lpstr>RCinEsr</vt:lpstr>
      <vt:lpstr>RCoutEsr</vt:lpstr>
      <vt:lpstr>Rdcr</vt:lpstr>
      <vt:lpstr>Rdcr2</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Rgate1</vt:lpstr>
      <vt:lpstr>Rgate2</vt:lpstr>
      <vt:lpstr>Rgate3</vt:lpstr>
      <vt:lpstr>Rgate4</vt:lpstr>
      <vt:lpstr>Ri</vt:lpstr>
      <vt:lpstr>Ri_Ch2</vt:lpstr>
      <vt:lpstr>Ro</vt:lpstr>
      <vt:lpstr>Ro_Ch2</vt:lpstr>
      <vt:lpstr>RoEA</vt:lpstr>
      <vt:lpstr>Rout</vt:lpstr>
      <vt:lpstr>Rout2</vt:lpstr>
      <vt:lpstr>Rpg</vt:lpstr>
      <vt:lpstr>Rs</vt:lpstr>
      <vt:lpstr>Rs_Ch2</vt:lpstr>
      <vt:lpstr>Rs_ideal</vt:lpstr>
      <vt:lpstr>Rs2_ideal</vt:lpstr>
      <vt:lpstr>SCH_DUAL</vt:lpstr>
      <vt:lpstr>SCH_MODE</vt:lpstr>
      <vt:lpstr>SCH_MULTIPHASE</vt:lpstr>
      <vt:lpstr>SCH_SINGLE</vt:lpstr>
      <vt:lpstr>Se_ext</vt:lpstr>
      <vt:lpstr>Se_ext_Ch2</vt:lpstr>
      <vt:lpstr>SENSING_TYPE</vt:lpstr>
      <vt:lpstr>Sf</vt:lpstr>
      <vt:lpstr>Sf_Ch2</vt:lpstr>
      <vt:lpstr>SINGLE_OUTPUT</vt:lpstr>
      <vt:lpstr>Sn</vt:lpstr>
      <vt:lpstr>Sn_Ch2</vt:lpstr>
      <vt:lpstr>Ta</vt:lpstr>
      <vt:lpstr>Tf_buck</vt:lpstr>
      <vt:lpstr>Tf_Ch2</vt:lpstr>
      <vt:lpstr>ThetaCa</vt:lpstr>
      <vt:lpstr>ThetaJA_Q1</vt:lpstr>
      <vt:lpstr>ThetaJA_Q2</vt:lpstr>
      <vt:lpstr>ThetaJA_Q3</vt:lpstr>
      <vt:lpstr>ThetaJA_Q4</vt:lpstr>
      <vt:lpstr>ThetaJaCtrl</vt:lpstr>
      <vt:lpstr>TL</vt:lpstr>
      <vt:lpstr>Tr_buck</vt:lpstr>
      <vt:lpstr>Tr_Ch2</vt:lpstr>
      <vt:lpstr>Tres</vt:lpstr>
      <vt:lpstr>Trr_Q1</vt:lpstr>
      <vt:lpstr>Trr_Q2</vt:lpstr>
      <vt:lpstr>Trr_Q3</vt:lpstr>
      <vt:lpstr>Trr_Q4</vt:lpstr>
      <vt:lpstr>Ts</vt:lpstr>
      <vt:lpstr>Tss</vt:lpstr>
      <vt:lpstr>VARIANT</vt:lpstr>
      <vt:lpstr>VCC</vt:lpstr>
      <vt:lpstr>VfdSky_Q2</vt:lpstr>
      <vt:lpstr>VfdSky_Q4</vt:lpstr>
      <vt:lpstr>Vin</vt:lpstr>
      <vt:lpstr>VIN_max</vt:lpstr>
      <vt:lpstr>VIN_MAX_RATING</vt:lpstr>
      <vt:lpstr>VIN_min</vt:lpstr>
      <vt:lpstr>VIN_nom</vt:lpstr>
      <vt:lpstr>Vinripple1</vt:lpstr>
      <vt:lpstr>Vo1_ripple</vt:lpstr>
      <vt:lpstr>Vo2_ripple</vt:lpstr>
      <vt:lpstr>Vout</vt:lpstr>
      <vt:lpstr>VOUT_MAX_RATING</vt:lpstr>
      <vt:lpstr>Vout2</vt:lpstr>
      <vt:lpstr>Vref</vt:lpstr>
      <vt:lpstr>Vsd_Q1</vt:lpstr>
      <vt:lpstr>Vsd_Q2</vt:lpstr>
      <vt:lpstr>Vsd_Q3</vt:lpstr>
      <vt:lpstr>Vsd_Q4</vt:lpstr>
      <vt:lpstr>Vsp_Q1</vt:lpstr>
      <vt:lpstr>Vsp_Q2</vt:lpstr>
      <vt:lpstr>Vsp_Q3</vt:lpstr>
      <vt:lpstr>Vsp_Q4</vt:lpstr>
      <vt:lpstr>Vth_Q1</vt:lpstr>
      <vt:lpstr>Vth_Q2</vt:lpstr>
      <vt:lpstr>Vth_Q3</vt:lpstr>
      <vt:lpstr>Vth_Q4</vt:lpstr>
      <vt:lpstr>'Ch2 Stability Calculations'!z_RHP</vt:lpstr>
      <vt:lpstr>z_RHP</vt:lpstr>
      <vt:lpstr>'Ch2 Stability Calculations'!Zero1</vt:lpstr>
      <vt:lpstr>Zero1</vt:lpstr>
      <vt:lpstr>'Ch2 Stability Calculations'!Zero2</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LM5143-Q1 Quickstart Tool</dc:title>
  <dc:creator>Timothy Hegarty</dc:creator>
  <cp:keywords>LM5143-Q1, PWM controller, current mode, PCB layout</cp:keywords>
  <cp:lastModifiedBy>Andreana, Aden [Student]</cp:lastModifiedBy>
  <cp:lastPrinted>2018-10-08T16:56:44Z</cp:lastPrinted>
  <dcterms:created xsi:type="dcterms:W3CDTF">1996-10-14T23:33:28Z</dcterms:created>
  <dcterms:modified xsi:type="dcterms:W3CDTF">2024-02-19T00:21:44Z</dcterms:modified>
</cp:coreProperties>
</file>